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defaultThemeVersion="124226"/>
  <xr:revisionPtr revIDLastSave="57" documentId="13_ncr:1_{9C8A9D61-95DB-4459-977D-3CE1D697809F}" xr6:coauthVersionLast="47" xr6:coauthVersionMax="47" xr10:uidLastSave="{FC33A548-4A67-42BD-A2F9-69523ADC9BDA}"/>
  <bookViews>
    <workbookView xWindow="-120" yWindow="-120" windowWidth="29040" windowHeight="15840" firstSheet="1" activeTab="2" xr2:uid="{00000000-000D-0000-FFFF-FFFF00000000}"/>
  </bookViews>
  <sheets>
    <sheet name="Sheet1" sheetId="14" state="hidden" r:id="rId1"/>
    <sheet name="Indicative BoQ" sheetId="26" r:id="rId2"/>
    <sheet name="RATE" sheetId="25" r:id="rId3"/>
    <sheet name="Part A-BOQ" sheetId="2" state="hidden" r:id="rId4"/>
    <sheet name="Part- B BOQ" sheetId="13" state="hidden" r:id="rId5"/>
    <sheet name="Part-C BOQ" sheetId="4" state="hidden" r:id="rId6"/>
    <sheet name="Part D- BOQ" sheetId="6" state="hidden" r:id="rId7"/>
    <sheet name="Part- E Estimate" sheetId="7" state="hidden" r:id="rId8"/>
    <sheet name="Part E BOQ" sheetId="8" state="hidden" r:id="rId9"/>
    <sheet name="Part F BOQ" sheetId="10" state="hidden" r:id="rId10"/>
    <sheet name="Part F- Estimate" sheetId="9" state="hidden" r:id="rId11"/>
  </sheets>
  <externalReferences>
    <externalReference r:id="rId12"/>
    <externalReference r:id="rId13"/>
    <externalReference r:id="rId14"/>
    <externalReference r:id="rId15"/>
    <externalReference r:id="rId16"/>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6" l="1"/>
  <c r="E4" i="26"/>
  <c r="D9" i="25"/>
  <c r="F5" i="26" l="1"/>
  <c r="F4" i="26"/>
  <c r="F6" i="26" l="1"/>
  <c r="E12" i="25"/>
  <c r="E13" i="25"/>
  <c r="D12" i="25"/>
  <c r="D13" i="25"/>
  <c r="E14" i="25" l="1"/>
  <c r="D14" i="25"/>
  <c r="D15" i="25" s="1"/>
  <c r="E15" i="25" l="1"/>
  <c r="J30" i="9"/>
  <c r="J31" i="9" s="1"/>
  <c r="J32" i="9" s="1"/>
  <c r="J16" i="9"/>
  <c r="J17" i="9" s="1"/>
  <c r="J18" i="9" s="1"/>
  <c r="J11" i="9"/>
  <c r="J9" i="9"/>
  <c r="J7" i="9"/>
  <c r="J59" i="7"/>
  <c r="J60" i="7" s="1"/>
  <c r="J22" i="7"/>
  <c r="J16" i="7"/>
  <c r="J15" i="7"/>
  <c r="J10" i="7"/>
  <c r="J5" i="7"/>
  <c r="A29" i="9"/>
  <c r="F8" i="9"/>
  <c r="J8" i="9" s="1"/>
  <c r="F23" i="9"/>
  <c r="J23" i="9" s="1"/>
  <c r="I26" i="9"/>
  <c r="J26" i="9" s="1"/>
  <c r="I25" i="9"/>
  <c r="G49" i="7" l="1"/>
  <c r="G32" i="7"/>
  <c r="A19" i="9" l="1"/>
  <c r="A15" i="9"/>
  <c r="A4" i="9"/>
  <c r="A58" i="7"/>
  <c r="A47" i="7"/>
  <c r="A42" i="7"/>
  <c r="A30" i="7"/>
  <c r="A26" i="7"/>
  <c r="A19" i="7"/>
  <c r="A13" i="7"/>
  <c r="A8" i="7"/>
  <c r="A4" i="7"/>
  <c r="C8" i="10" l="1"/>
  <c r="B8" i="10"/>
  <c r="I24" i="9"/>
  <c r="J24" i="9" s="1"/>
  <c r="I22" i="9"/>
  <c r="J22" i="9" s="1"/>
  <c r="F25" i="9"/>
  <c r="J25" i="9" s="1"/>
  <c r="B14" i="13"/>
  <c r="C13" i="13"/>
  <c r="B13" i="13"/>
  <c r="C12" i="13"/>
  <c r="B12" i="13"/>
  <c r="C11" i="13"/>
  <c r="B11" i="13"/>
  <c r="B10" i="13"/>
  <c r="C9" i="13"/>
  <c r="B9" i="13"/>
  <c r="C8" i="13"/>
  <c r="B8" i="13"/>
  <c r="C7" i="13"/>
  <c r="B7" i="13"/>
  <c r="B6" i="13"/>
  <c r="F9" i="13" l="1"/>
  <c r="G9" i="13" s="1"/>
  <c r="J27" i="9"/>
  <c r="J28" i="9" s="1"/>
  <c r="F8" i="13"/>
  <c r="G8" i="13" s="1"/>
  <c r="F11" i="13"/>
  <c r="G11" i="13" s="1"/>
  <c r="F7" i="10"/>
  <c r="G7" i="10" s="1"/>
  <c r="C7" i="10"/>
  <c r="B7" i="10"/>
  <c r="F6" i="10"/>
  <c r="G6" i="10" s="1"/>
  <c r="B6" i="10"/>
  <c r="F10" i="9"/>
  <c r="J10" i="9" s="1"/>
  <c r="J12" i="9" s="1"/>
  <c r="F6" i="13" l="1"/>
  <c r="G6" i="13" s="1"/>
  <c r="F12" i="13"/>
  <c r="G12" i="13" s="1"/>
  <c r="F10" i="13"/>
  <c r="G10" i="13" s="1"/>
  <c r="F13" i="13"/>
  <c r="G13" i="13" s="1"/>
  <c r="F7" i="13"/>
  <c r="G7" i="13" s="1"/>
  <c r="J13" i="9"/>
  <c r="F8" i="10"/>
  <c r="G8" i="10" s="1"/>
  <c r="G9" i="10" s="1"/>
  <c r="F14" i="8"/>
  <c r="G14" i="8" s="1"/>
  <c r="B14" i="8"/>
  <c r="F13" i="8"/>
  <c r="G13" i="8" s="1"/>
  <c r="C13" i="8"/>
  <c r="B13" i="8"/>
  <c r="F12" i="8"/>
  <c r="G12" i="8" s="1"/>
  <c r="C12" i="8"/>
  <c r="B12" i="8"/>
  <c r="F11" i="8"/>
  <c r="G11" i="8" s="1"/>
  <c r="C11" i="8"/>
  <c r="B11" i="8"/>
  <c r="F10" i="8"/>
  <c r="G10" i="8" s="1"/>
  <c r="B10" i="8"/>
  <c r="F9" i="8"/>
  <c r="G9" i="8" s="1"/>
  <c r="C9" i="8"/>
  <c r="B9" i="8"/>
  <c r="F8" i="8"/>
  <c r="G8" i="8" s="1"/>
  <c r="C8" i="8"/>
  <c r="B8" i="8"/>
  <c r="F7" i="8"/>
  <c r="G7" i="8" s="1"/>
  <c r="C7" i="8"/>
  <c r="B7" i="8"/>
  <c r="F6" i="8"/>
  <c r="G6" i="8" s="1"/>
  <c r="B6" i="8"/>
  <c r="I55" i="7"/>
  <c r="G55" i="7"/>
  <c r="I54" i="7"/>
  <c r="G54" i="7"/>
  <c r="I53" i="7"/>
  <c r="G53" i="7"/>
  <c r="I52" i="7"/>
  <c r="J52" i="7" s="1"/>
  <c r="F51" i="7"/>
  <c r="J51" i="7" s="1"/>
  <c r="I49" i="7"/>
  <c r="F49" i="7"/>
  <c r="G23" i="7"/>
  <c r="J23" i="7" s="1"/>
  <c r="G21" i="7"/>
  <c r="J21" i="7" s="1"/>
  <c r="G20" i="7"/>
  <c r="H14" i="7"/>
  <c r="G14" i="7"/>
  <c r="J11" i="7"/>
  <c r="J12" i="7" s="1"/>
  <c r="J6" i="7"/>
  <c r="J7" i="7" s="1"/>
  <c r="H43" i="7"/>
  <c r="G43" i="7"/>
  <c r="G38" i="7"/>
  <c r="J38" i="7" s="1"/>
  <c r="G36" i="7"/>
  <c r="J36" i="7" s="1"/>
  <c r="G35" i="7"/>
  <c r="F34" i="7"/>
  <c r="J34" i="7" s="1"/>
  <c r="F32" i="7"/>
  <c r="J53" i="7" l="1"/>
  <c r="J43" i="7"/>
  <c r="J44" i="7" s="1"/>
  <c r="J45" i="7" s="1"/>
  <c r="J14" i="7"/>
  <c r="J17" i="7" s="1"/>
  <c r="J18" i="7" s="1"/>
  <c r="J55" i="7"/>
  <c r="J54" i="7"/>
  <c r="J20" i="7"/>
  <c r="J24" i="7" s="1"/>
  <c r="J25" i="7" s="1"/>
  <c r="F33" i="7"/>
  <c r="J33" i="7" s="1"/>
  <c r="J32" i="7"/>
  <c r="G37" i="7"/>
  <c r="J37" i="7" s="1"/>
  <c r="J35" i="7"/>
  <c r="F50" i="7"/>
  <c r="J50" i="7" s="1"/>
  <c r="J49" i="7"/>
  <c r="F14" i="13"/>
  <c r="G14" i="13" s="1"/>
  <c r="G15" i="13" s="1"/>
  <c r="G15" i="8"/>
  <c r="J39" i="7" l="1"/>
  <c r="J40" i="7" s="1"/>
  <c r="J56" i="7"/>
  <c r="J57" i="7" s="1"/>
  <c r="G27" i="7"/>
  <c r="B14" i="6"/>
  <c r="F13" i="6"/>
  <c r="G13" i="6" s="1"/>
  <c r="C13" i="6"/>
  <c r="B13" i="6"/>
  <c r="F12" i="6"/>
  <c r="G12" i="6" s="1"/>
  <c r="C12" i="6"/>
  <c r="B12" i="6"/>
  <c r="F11" i="6"/>
  <c r="G11" i="6" s="1"/>
  <c r="C11" i="6"/>
  <c r="B11" i="6"/>
  <c r="F10" i="6"/>
  <c r="G10" i="6" s="1"/>
  <c r="B10" i="6"/>
  <c r="F9" i="6"/>
  <c r="G9" i="6" s="1"/>
  <c r="C9" i="6"/>
  <c r="B9" i="6"/>
  <c r="F8" i="6"/>
  <c r="G8" i="6" s="1"/>
  <c r="C8" i="6"/>
  <c r="B8" i="6"/>
  <c r="F7" i="6"/>
  <c r="G7" i="6" s="1"/>
  <c r="C7" i="6"/>
  <c r="B7" i="6"/>
  <c r="F6" i="6"/>
  <c r="G6" i="6" s="1"/>
  <c r="B6" i="6"/>
  <c r="J27" i="7" l="1"/>
  <c r="J28" i="7" s="1"/>
  <c r="J29" i="7" s="1"/>
  <c r="F14" i="6" l="1"/>
  <c r="G14" i="6" s="1"/>
  <c r="G15" i="6" s="1"/>
  <c r="B11" i="4"/>
  <c r="B10" i="4"/>
  <c r="C9" i="4"/>
  <c r="B9" i="4"/>
  <c r="C8" i="4"/>
  <c r="B8" i="4"/>
  <c r="C7" i="4"/>
  <c r="B7" i="4"/>
  <c r="B6" i="4"/>
  <c r="F8" i="4" l="1"/>
  <c r="G8" i="4" s="1"/>
  <c r="F10" i="4" l="1"/>
  <c r="G10" i="4" s="1"/>
  <c r="F9" i="4"/>
  <c r="G9" i="4" s="1"/>
  <c r="F7" i="4"/>
  <c r="G7" i="4" s="1"/>
  <c r="F28" i="2"/>
  <c r="G28" i="2" s="1"/>
  <c r="C28" i="2"/>
  <c r="B28" i="2"/>
  <c r="F27" i="2"/>
  <c r="G27" i="2" s="1"/>
  <c r="C27" i="2"/>
  <c r="B27" i="2"/>
  <c r="F26" i="2"/>
  <c r="G26" i="2" s="1"/>
  <c r="C26" i="2"/>
  <c r="B26" i="2"/>
  <c r="F25" i="2"/>
  <c r="G25" i="2" s="1"/>
  <c r="C25" i="2"/>
  <c r="B25" i="2"/>
  <c r="F24" i="2"/>
  <c r="G24" i="2" s="1"/>
  <c r="D24" i="2"/>
  <c r="C24" i="2"/>
  <c r="B24" i="2"/>
  <c r="F23" i="2"/>
  <c r="G23" i="2" s="1"/>
  <c r="C23" i="2"/>
  <c r="B23" i="2"/>
  <c r="C22" i="2"/>
  <c r="B22" i="2"/>
  <c r="F21" i="2"/>
  <c r="G21" i="2" s="1"/>
  <c r="C21" i="2"/>
  <c r="C20" i="2"/>
  <c r="B20" i="2"/>
  <c r="F19" i="2"/>
  <c r="G19" i="2" s="1"/>
  <c r="B19" i="2"/>
  <c r="F18" i="2"/>
  <c r="G18" i="2" s="1"/>
  <c r="B18" i="2"/>
  <c r="C17" i="2"/>
  <c r="A17" i="2"/>
  <c r="F16" i="2"/>
  <c r="G16" i="2" s="1"/>
  <c r="C15" i="2"/>
  <c r="B15" i="2"/>
  <c r="F14" i="2"/>
  <c r="G14" i="2" s="1"/>
  <c r="C13" i="2"/>
  <c r="B13" i="2"/>
  <c r="D12" i="2"/>
  <c r="C12" i="2"/>
  <c r="B12" i="2"/>
  <c r="F11" i="2"/>
  <c r="G11" i="2" s="1"/>
  <c r="C11" i="2"/>
  <c r="B11" i="2"/>
  <c r="F10" i="2"/>
  <c r="G10" i="2" s="1"/>
  <c r="C10" i="2"/>
  <c r="B10" i="2"/>
  <c r="F9" i="2"/>
  <c r="G9" i="2" s="1"/>
  <c r="C9" i="2"/>
  <c r="B9" i="2"/>
  <c r="F8" i="2"/>
  <c r="G8" i="2" s="1"/>
  <c r="C8" i="2"/>
  <c r="B8" i="2"/>
  <c r="F7" i="2"/>
  <c r="G7" i="2" s="1"/>
  <c r="D7" i="2"/>
  <c r="C7" i="2"/>
  <c r="B7" i="2"/>
  <c r="F6" i="2"/>
  <c r="G6" i="2" s="1"/>
  <c r="D6" i="2"/>
  <c r="C6" i="2"/>
  <c r="B6" i="2"/>
  <c r="F11" i="4" l="1"/>
  <c r="G11" i="4" s="1"/>
  <c r="F6" i="4"/>
  <c r="G6" i="4" s="1"/>
  <c r="G12" i="4" l="1"/>
  <c r="F12" i="2"/>
  <c r="G12" i="2" s="1"/>
  <c r="G29" i="2" s="1"/>
  <c r="D4" i="14" l="1"/>
  <c r="D5" i="14" l="1"/>
  <c r="D6" i="14" s="1"/>
</calcChain>
</file>

<file path=xl/sharedStrings.xml><?xml version="1.0" encoding="utf-8"?>
<sst xmlns="http://schemas.openxmlformats.org/spreadsheetml/2006/main" count="344" uniqueCount="154">
  <si>
    <t>S.N</t>
  </si>
  <si>
    <t>DSR 2018 Ref. No.</t>
  </si>
  <si>
    <t>PARTICULARS</t>
  </si>
  <si>
    <t>NO</t>
  </si>
  <si>
    <t>L</t>
  </si>
  <si>
    <t>B</t>
  </si>
  <si>
    <t>H</t>
  </si>
  <si>
    <t>Quantity</t>
  </si>
  <si>
    <t>Remarks</t>
  </si>
  <si>
    <t>15.2.2</t>
  </si>
  <si>
    <t>Cum</t>
  </si>
  <si>
    <t>Total</t>
  </si>
  <si>
    <t>Say</t>
  </si>
  <si>
    <t>2.6.1</t>
  </si>
  <si>
    <t>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t>
  </si>
  <si>
    <t>CUM</t>
  </si>
  <si>
    <t>5.1.2</t>
  </si>
  <si>
    <t>Providing and laying in position specified grade of reinforced cement concrete, excluding the cost of centering, shuttering, finishing and reinforcement - All work up to plinth level : 1:1.5:3 (1 cement : 1.5 coarse sand (zone-III): 3 graded stone aggregate 20 mm nominal size).</t>
  </si>
  <si>
    <t>5.9.1</t>
  </si>
  <si>
    <t>Centering and shuttering including strutting, propping etc. and removal of form for all heights : Foundations, footings, bases of columns, etc. for mass concrete</t>
  </si>
  <si>
    <t>SQM</t>
  </si>
  <si>
    <t>5.22.6</t>
  </si>
  <si>
    <t>Steel reinforcement for R.C.C. work including straightening, cutting, bending, placing in position and binding all complete upto plinth level.Thermo-Mechanically Treated bars of grade Fe-500D or more</t>
  </si>
  <si>
    <t>KG</t>
  </si>
  <si>
    <t>110 mm diameter</t>
  </si>
  <si>
    <t>Metre</t>
  </si>
  <si>
    <t>Shoe 110 mm</t>
  </si>
  <si>
    <t>Each</t>
  </si>
  <si>
    <t>Coupler 110 mm</t>
  </si>
  <si>
    <t>Sqm</t>
  </si>
  <si>
    <t>13.61</t>
  </si>
  <si>
    <t>Painting with synthetic enamel paint of approved brand and manufacture to  give an even shade :</t>
  </si>
  <si>
    <t>13.61.1</t>
  </si>
  <si>
    <t>Two or more coats on new work</t>
  </si>
  <si>
    <t>Annexure-BOQ</t>
  </si>
  <si>
    <t>BOQ FOR THE WORK OF "CONSTRUCTION OF OPEN STORE TRUSS AT HVDC TERMINAL STATION KURUKSHETRA "</t>
  </si>
  <si>
    <t>Sr. No.</t>
  </si>
  <si>
    <t>Description</t>
  </si>
  <si>
    <t>Unit</t>
  </si>
  <si>
    <t>Rate</t>
  </si>
  <si>
    <t>Amount</t>
  </si>
  <si>
    <t>PART-A : NEW WORK</t>
  </si>
  <si>
    <t>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 charge. The sheet shall be fixed using self drilling /self tapping screws of size (5.5x 55 mm) with EPDM seal, complete upto any pitch in horizontal/ vertical or curved surfaces, excluding the cost of purlins, rafters and trusses and including cutting to size and shape
wherever required</t>
  </si>
  <si>
    <t>PART C: TOTAL</t>
  </si>
  <si>
    <t>GRAND TOTAL (PART A+ PART B+ PART C)</t>
  </si>
  <si>
    <t xml:space="preserve">Steel work welded in built up sections/ framed work, including cutting, hoisting, fixing in position and applying a priming coat of approved steel primer using structural steel etc. as required.
</t>
  </si>
  <si>
    <t>10.25.2</t>
  </si>
  <si>
    <t>In gratings, frames, guard bar, ladder, railings, brackets, gates and similar works</t>
  </si>
  <si>
    <r>
      <t xml:space="preserve">80 X 80 X 3MM (SHS) SQUARE STEEL HOLLOW SECTION (7.22 KG/M) : </t>
    </r>
    <r>
      <rPr>
        <b/>
        <sz val="11"/>
        <color theme="1"/>
        <rFont val="Calibri"/>
        <family val="2"/>
      </rPr>
      <t>Vertical Pipes</t>
    </r>
  </si>
  <si>
    <t>Plates 200X200X10 mm for bottom grouting</t>
  </si>
  <si>
    <t>Net Total</t>
  </si>
  <si>
    <t>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
charge. The sheet shall be fixed using self drilling /self tapping screws of size (5.5x 55 mm) with EPDM seal, complete upto any pitch in horizontal/ vertical or curved surfaces, excluding the cost of
purlins, rafters and trusses and including cutting to size and shape wherever required</t>
  </si>
  <si>
    <t>Roof</t>
  </si>
  <si>
    <t>Providing and laying in position cement concrete of specified grade
excluding the cost of centering and shuttering - All work up to plinth
level :</t>
  </si>
  <si>
    <t>4.1.3</t>
  </si>
  <si>
    <t>1:2:4 (1 cement : 2 coarse sand (zone-III) : 4 graded stone aggregate 20 mm nominal size)</t>
  </si>
  <si>
    <t xml:space="preserve">Internal Area </t>
  </si>
  <si>
    <t xml:space="preserve">Steel work welded in built up sections/ framed work, including cutting, hoisting, fixing in position and applying a priming coat of approved steel primer using structural steel etc. as required.
In gratings, frames, guard bar, ladder, railings, brackets, gates and similar works
</t>
  </si>
  <si>
    <t xml:space="preserve">Providing and laying in position cement concrete of specified grade
excluding the cost of centering and shuttering - All work up to plinth
level :
1:2:4 (1 cement : 2 coarse sand (zone-III) : 4 graded stone aggregate 20 mm nominal size)
</t>
  </si>
  <si>
    <t>Painting with synthetic enamel paint of approved brand and manufacture to  give an even shade :
Two or more coats on new work</t>
  </si>
  <si>
    <t>BOQ FOR THE WORK OF "CONSTRUCTION OF BUSHING SHED AT HVDC TERMINAL STATION KURUKSHETRA "</t>
  </si>
  <si>
    <t>Plates 200X200X10 mm for Wall Fastning</t>
  </si>
  <si>
    <r>
      <t xml:space="preserve">50 X 50 X 3MM (SHS) SQUARE STEEL HOLLOW SECTION (4.39 KG/M) </t>
    </r>
    <r>
      <rPr>
        <b/>
        <sz val="11"/>
        <color theme="1"/>
        <rFont val="Calibri"/>
        <family val="2"/>
      </rPr>
      <t>: Main Pipe in short direction</t>
    </r>
  </si>
  <si>
    <r>
      <t>50 X 50 X 3MM (SHS) SQUARE STEEL HOLLOW SECTION (4.39 KG/M) :</t>
    </r>
    <r>
      <rPr>
        <b/>
        <sz val="11"/>
        <color theme="1"/>
        <rFont val="Calibri"/>
        <family val="2"/>
      </rPr>
      <t xml:space="preserve"> Main Pipe in long direction</t>
    </r>
  </si>
  <si>
    <r>
      <t xml:space="preserve">25 X 25 X 3MM (SHS) SQUARE STEEL HOLLOW SECTION (2.04 KG/M) </t>
    </r>
    <r>
      <rPr>
        <b/>
        <sz val="11"/>
        <color theme="1"/>
        <rFont val="Calibri"/>
        <family val="2"/>
      </rPr>
      <t>: Extra Pipes in Short Direction</t>
    </r>
  </si>
  <si>
    <r>
      <t xml:space="preserve">25 X 25 X 3MM (SHS) SQUARE STEEL HOLLOW SECTION (2.04 KG/M) </t>
    </r>
    <r>
      <rPr>
        <b/>
        <sz val="11"/>
        <color theme="1"/>
        <rFont val="Calibri"/>
        <family val="2"/>
      </rPr>
      <t>: Extra Pipes in long  Direction</t>
    </r>
  </si>
  <si>
    <t>Foundation for column</t>
  </si>
  <si>
    <t>Cooler bank foundation area</t>
  </si>
  <si>
    <t>Cable trench culvert area</t>
  </si>
  <si>
    <t>Sides of main lift internal area</t>
  </si>
  <si>
    <t xml:space="preserve">Cable trench culvert slab bottom  </t>
  </si>
  <si>
    <t>Cable trench culvert side</t>
  </si>
  <si>
    <t xml:space="preserve"> Total</t>
  </si>
  <si>
    <t>DETAILED ESTIMATE FOR THE WORK OF "CONSTRUCTION OF STORE PARTITION AT KURUKSHETRA"</t>
  </si>
  <si>
    <t>CK-1 Store Partition</t>
  </si>
  <si>
    <r>
      <t xml:space="preserve">50 X 50 X 3MM (SHS) SQUARE STEEL HOLLOW SECTION (4.39 KG/M) </t>
    </r>
    <r>
      <rPr>
        <b/>
        <sz val="11"/>
        <color theme="1"/>
        <rFont val="Calibri"/>
        <family val="2"/>
      </rPr>
      <t>: Vertical Pipe</t>
    </r>
  </si>
  <si>
    <t>Plates 100X100X10 mm for bottom grouting</t>
  </si>
  <si>
    <r>
      <t xml:space="preserve">50 X 50 X 3MM (SHS) SQUARE STEEL HOLLOW SECTION (4.39 KG/M) </t>
    </r>
    <r>
      <rPr>
        <b/>
        <sz val="11"/>
        <color theme="1"/>
        <rFont val="Calibri"/>
        <family val="2"/>
      </rPr>
      <t>: Horizomtal pipe from colum to column</t>
    </r>
  </si>
  <si>
    <r>
      <t xml:space="preserve">25 X 25 X 3MM (SHS) SQUARE STEEL HOLLOW SECTION (2.04 KG/M) </t>
    </r>
    <r>
      <rPr>
        <b/>
        <sz val="11"/>
        <color theme="1"/>
        <rFont val="Calibri"/>
        <family val="2"/>
      </rPr>
      <t>: Extra Pipes in Vertical Direction</t>
    </r>
  </si>
  <si>
    <t>Store Partition Wall</t>
  </si>
  <si>
    <t>BOQ FOR THE WORK OF "CONSTRUCTION OF STORE PARTITION AT HVDC TERMINAL STATION KURUKSHETRA "</t>
  </si>
  <si>
    <t>BOQ FOR THE WORK OF "CONSTRUCTION OF MAIN LIFT SHED SHED AT HVDC TERMINAL STATION KURUKSHETRA "</t>
  </si>
  <si>
    <t>DETAILED ESTIMATE FOR THE WORK OF "CONSTRUCTION OF MAIN LIFT SHED AT HVDC TERMINAL KURUKSHETRA"</t>
  </si>
  <si>
    <t>BOQ FOR THE WORK OF "CONSTRUCTION OF OIL DRUM SHED AT HVDC TERMINAL STATION KURUKSHETRA "</t>
  </si>
  <si>
    <t>Demolishing cement concrete manually/ by mechanical means including disposal of material within 50 metres lead as per direction of Engineer - in - charge 
Nominal concrete 1:4:8 or leaner mix (i/c equivalent design mix)</t>
  </si>
  <si>
    <t xml:space="preserve">Internal Area of Water Tank Shed @ 35 KG/ Cum </t>
  </si>
  <si>
    <t>50 X 50 X 5MM MILD STEEL ANGLE (3.77 KG/M)- For barbed Wire Support</t>
  </si>
  <si>
    <t>Providing and fixing concertina coil fencing with punched tape concertina coil 600 mm dia 10 metre openable length ( total length 90 m), having 50 nos rounds per 6 metre length, upto 3 m height of wall with existing angle iron ‘Y’ shaped placed 2.4m or 3.00 m apart and with 9 horizontal R.B.T. reinforced barbed wire, stud tied with G.I. staples and G.I. clips to retain horizontal, including necessary bolts or G.I. barbed wire tied to angle iron, all complete as per direction of Engineer-in-charge, with reinforced barbed tape(R.B.T.)/ Spring core (2.5mm thick) wire of high tensile strength of 165 kg/ sq.mm with tape (0.52 mm thick) and weight 43.478 gm/ metre (cost of M.S. angle, C.C. blocks shall be paid separately)</t>
  </si>
  <si>
    <t xml:space="preserve">Over the Angle </t>
  </si>
  <si>
    <t>METRE</t>
  </si>
  <si>
    <t>Shed No-1</t>
  </si>
  <si>
    <t>Shed No-2</t>
  </si>
  <si>
    <t xml:space="preserve">SUMMARY OF COST </t>
  </si>
  <si>
    <t>SR. No</t>
  </si>
  <si>
    <t>Name of Work</t>
  </si>
  <si>
    <t>TOTAL =</t>
  </si>
  <si>
    <t>Construction of Partially Closed Store Shed (PEB Store)  near Closed Store Building-1</t>
  </si>
  <si>
    <t>Construction of Partially Closed Store Shed (PEB Store)  near Closed Store Building-2</t>
  </si>
  <si>
    <t>No.</t>
  </si>
  <si>
    <t>(a)</t>
  </si>
  <si>
    <t>Basic Wages (BW) plus Variable Dearness Allownace (VDA)</t>
  </si>
  <si>
    <t>(b)</t>
  </si>
  <si>
    <t>Employess State Insurance (ESI)  Medical Allowance and Workmen Compensation in areas not covered under ESI</t>
  </si>
  <si>
    <t>3.25 % of Basic Plus VDA</t>
  </si>
  <si>
    <t>(c )</t>
  </si>
  <si>
    <t xml:space="preserve">Employees Provident Fund (EPF) </t>
  </si>
  <si>
    <t>Employees Deposit Linked Insurance</t>
  </si>
  <si>
    <t>(d)</t>
  </si>
  <si>
    <t xml:space="preserve">( e) </t>
  </si>
  <si>
    <t>Administrative Charges (EPF+ EDLI)</t>
  </si>
  <si>
    <t>(f)</t>
  </si>
  <si>
    <t>House Rent Allownace (HRA)</t>
  </si>
  <si>
    <t>24% of Basic plus VDA or Rs.5400 (Which is higher)</t>
  </si>
  <si>
    <t>(g )</t>
  </si>
  <si>
    <t>ESI/ Medical Allowance on HRA</t>
  </si>
  <si>
    <t>3.25 % of HRA</t>
  </si>
  <si>
    <t>(h)</t>
  </si>
  <si>
    <t>Bonus</t>
  </si>
  <si>
    <t>8.33 % per month (Basic + VDA)</t>
  </si>
  <si>
    <t>(i)</t>
  </si>
  <si>
    <t>Uniform outfit Allownace</t>
  </si>
  <si>
    <t>5 % of Basic plus VDA</t>
  </si>
  <si>
    <t>(j)</t>
  </si>
  <si>
    <t>Uniform Washing Allowance</t>
  </si>
  <si>
    <t>3 % of Basic plus VDA</t>
  </si>
  <si>
    <t>(k)</t>
  </si>
  <si>
    <t>(l)</t>
  </si>
  <si>
    <t>Relieving Charges 1/6th of Serial (k)</t>
  </si>
  <si>
    <t>(m)</t>
  </si>
  <si>
    <t>Total  Cost per month</t>
  </si>
  <si>
    <t>Annexure-Rates</t>
  </si>
  <si>
    <t>12 % of Basic Plus VDA restricted to ₹ 15000/-</t>
  </si>
  <si>
    <t>0.5 % of Basic plus VDA restricted to ₹ 15000/-</t>
  </si>
  <si>
    <t>Perentage (This is to be read in conjuction with latest rules/ act/ regulation and policies promulgated by competent Govt. Auhority)</t>
  </si>
  <si>
    <t>Description of Services</t>
  </si>
  <si>
    <t>Security Supervisor</t>
  </si>
  <si>
    <t>No. of Manpower</t>
  </si>
  <si>
    <t>Amount (₹) for 24 months excluding GST</t>
  </si>
  <si>
    <t>To be Quoted by Bidder</t>
  </si>
  <si>
    <t>Sub Total for 24 months (excl. GST) (A) :</t>
  </si>
  <si>
    <t>Service Charges ___% (B) :</t>
  </si>
  <si>
    <t>Grand Total (A+B) :</t>
  </si>
  <si>
    <t>Minimum Rate per month (₹) per head to be quoted by bidder</t>
  </si>
  <si>
    <t>Note:</t>
  </si>
  <si>
    <t>1.) Bidders are advised to quote rates of various category of Security Personal, more than or eqaul to as indicated in column 'e'.</t>
  </si>
  <si>
    <t>DGR RATES W.E.F. 01st OCTOBER 2023 FOR AREA-A</t>
  </si>
  <si>
    <t>SUB TOTAL (a) to (j)</t>
  </si>
  <si>
    <t>Supervisor (Highly skilled)
Rs.1216.95 X 26 days=Rs.31,640.70</t>
  </si>
  <si>
    <t>Security Guards without arms (skilled)
Rs. 915 X 26 days=Rs.23,790</t>
  </si>
  <si>
    <t>Indicative BoQ for "Deployment of Security Personnel at CTUIL New Office – IRCON International Tower-1, Sector-32, Gurugram through DRZ (Directorate Resettlement Zone)-West, Ministry of Defence Sponsored Security Agency."</t>
  </si>
  <si>
    <t>Secutiy Guard (Unarmed)</t>
  </si>
  <si>
    <t>(e)</t>
  </si>
  <si>
    <t>(c)</t>
  </si>
  <si>
    <t>2.) Rates are based on the minimum wages of DGR (Director General of Resettlement) as on 01.10.2023 and on revision of minimum wages, differential amount shall be reimbursable to the Agency by CTUIL.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</si>
</sst>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0.00_);_(* \(#,##0.00\);_(* &quot;-&quot;??_);_(@_)"/>
    <numFmt numFmtId="165" formatCode="0.000"/>
  </numFmts>
  <fonts count="31" x14ac:knownFonts="1">
    <font>
      <sz val="11"/>
      <color theme="1"/>
      <name val="Calibri"/>
      <family val="2"/>
      <scheme val="minor"/>
    </font>
    <font>
      <b/>
      <sz val="11"/>
      <color theme="1"/>
      <name val="Calibri"/>
      <family val="2"/>
      <scheme val="minor"/>
    </font>
    <font>
      <b/>
      <sz val="12"/>
      <color theme="1"/>
      <name val="Calibri"/>
      <family val="2"/>
      <scheme val="minor"/>
    </font>
    <font>
      <b/>
      <sz val="12"/>
      <name val="Calibri"/>
      <family val="2"/>
      <scheme val="minor"/>
    </font>
    <font>
      <sz val="12"/>
      <color theme="1"/>
      <name val="Calibri"/>
      <family val="2"/>
      <scheme val="minor"/>
    </font>
    <font>
      <sz val="11"/>
      <color theme="1"/>
      <name val="Calibri"/>
      <family val="2"/>
    </font>
    <font>
      <sz val="11"/>
      <name val="Arial"/>
      <family val="2"/>
    </font>
    <font>
      <b/>
      <sz val="11"/>
      <color theme="1"/>
      <name val="Calibri"/>
      <family val="2"/>
    </font>
    <font>
      <sz val="12"/>
      <name val="Calibri"/>
      <family val="2"/>
    </font>
    <font>
      <b/>
      <sz val="11"/>
      <name val="Arial"/>
      <family val="2"/>
    </font>
    <font>
      <sz val="11"/>
      <name val="Arial Narrow"/>
      <family val="2"/>
    </font>
    <font>
      <sz val="12"/>
      <name val="Calibri"/>
      <family val="2"/>
      <scheme val="minor"/>
    </font>
    <font>
      <sz val="11"/>
      <name val="Calibri"/>
      <family val="2"/>
      <scheme val="minor"/>
    </font>
    <font>
      <b/>
      <sz val="11"/>
      <name val="Calibri"/>
      <family val="2"/>
      <scheme val="minor"/>
    </font>
    <font>
      <b/>
      <sz val="14"/>
      <color theme="1"/>
      <name val="Calibri"/>
      <family val="2"/>
      <scheme val="minor"/>
    </font>
    <font>
      <b/>
      <sz val="14"/>
      <color theme="1"/>
      <name val="Calibri"/>
      <family val="2"/>
    </font>
    <font>
      <b/>
      <sz val="9"/>
      <name val="Calibri"/>
      <family val="2"/>
      <scheme val="minor"/>
    </font>
    <font>
      <b/>
      <sz val="18"/>
      <color theme="1"/>
      <name val="Calibri"/>
      <family val="2"/>
      <scheme val="minor"/>
    </font>
    <font>
      <b/>
      <sz val="16"/>
      <color theme="1"/>
      <name val="Calibri"/>
      <family val="2"/>
      <scheme val="minor"/>
    </font>
    <font>
      <sz val="14"/>
      <color theme="1"/>
      <name val="Calibri"/>
      <family val="2"/>
      <scheme val="minor"/>
    </font>
    <font>
      <sz val="10"/>
      <name val="Arial"/>
    </font>
    <font>
      <sz val="11"/>
      <color theme="1"/>
      <name val="Calibri"/>
      <family val="2"/>
      <scheme val="minor"/>
    </font>
    <font>
      <b/>
      <sz val="12"/>
      <name val="Book Antiqua"/>
      <family val="1"/>
    </font>
    <font>
      <sz val="12"/>
      <color theme="1"/>
      <name val="Book Antiqua"/>
      <family val="1"/>
    </font>
    <font>
      <b/>
      <sz val="12"/>
      <color theme="1"/>
      <name val="Book Antiqua"/>
      <family val="1"/>
    </font>
    <font>
      <sz val="12"/>
      <name val="Book Antiqua"/>
      <family val="1"/>
    </font>
    <font>
      <sz val="14"/>
      <color theme="1"/>
      <name val="Book Antiqua"/>
      <family val="1"/>
    </font>
    <font>
      <b/>
      <sz val="14"/>
      <color theme="1"/>
      <name val="Book Antiqua"/>
      <family val="1"/>
    </font>
    <font>
      <b/>
      <sz val="14"/>
      <name val="Book Antiqua"/>
      <family val="1"/>
    </font>
    <font>
      <sz val="14"/>
      <name val="Book Antiqua"/>
      <family val="1"/>
    </font>
    <font>
      <b/>
      <i/>
      <sz val="12"/>
      <color theme="1"/>
      <name val="Book Antiqua"/>
      <family val="1"/>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99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20" fillId="0" borderId="0"/>
    <xf numFmtId="43" fontId="21" fillId="0" borderId="0" applyFont="0" applyFill="0" applyBorder="0" applyAlignment="0" applyProtection="0"/>
  </cellStyleXfs>
  <cellXfs count="122">
    <xf numFmtId="0" fontId="0" fillId="0" borderId="0" xfId="0"/>
    <xf numFmtId="0" fontId="2" fillId="2" borderId="1" xfId="0" applyFont="1" applyFill="1" applyBorder="1" applyAlignment="1">
      <alignment horizontal="center" vertical="center" wrapText="1"/>
    </xf>
    <xf numFmtId="0" fontId="1" fillId="0" borderId="1" xfId="0" applyFont="1" applyBorder="1" applyAlignment="1">
      <alignment horizontal="center" wrapText="1"/>
    </xf>
    <xf numFmtId="2" fontId="2" fillId="2" borderId="1" xfId="0" applyNumberFormat="1" applyFont="1" applyFill="1" applyBorder="1" applyAlignment="1">
      <alignment horizontal="center" vertical="center" wrapText="1"/>
    </xf>
    <xf numFmtId="2" fontId="3" fillId="2" borderId="2"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justify" vertical="center" wrapText="1"/>
    </xf>
    <xf numFmtId="2" fontId="2" fillId="2" borderId="2" xfId="0" applyNumberFormat="1" applyFont="1" applyFill="1" applyBorder="1" applyAlignment="1">
      <alignment horizontal="center" vertical="center" wrapText="1"/>
    </xf>
    <xf numFmtId="2" fontId="2" fillId="2" borderId="3" xfId="0" applyNumberFormat="1" applyFont="1" applyFill="1" applyBorder="1" applyAlignment="1">
      <alignment horizontal="center" vertical="center" wrapText="1"/>
    </xf>
    <xf numFmtId="2" fontId="2" fillId="2" borderId="4"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165"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xf>
    <xf numFmtId="165" fontId="7" fillId="0" borderId="1" xfId="0" applyNumberFormat="1" applyFont="1" applyBorder="1"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justify" wrapText="1"/>
    </xf>
    <xf numFmtId="0" fontId="5" fillId="0" borderId="2" xfId="0" applyFont="1" applyBorder="1" applyAlignment="1">
      <alignment horizontal="center" vertical="center"/>
    </xf>
    <xf numFmtId="0" fontId="8" fillId="0" borderId="1" xfId="0" applyFont="1" applyBorder="1" applyAlignment="1">
      <alignment horizontal="justify" vertical="top" wrapText="1"/>
    </xf>
    <xf numFmtId="0" fontId="0" fillId="0" borderId="1" xfId="0" applyBorder="1"/>
    <xf numFmtId="0" fontId="10" fillId="2" borderId="1" xfId="0" applyFont="1" applyFill="1" applyBorder="1" applyAlignment="1">
      <alignment horizontal="center" vertical="center" wrapText="1"/>
    </xf>
    <xf numFmtId="2" fontId="4" fillId="2" borderId="1" xfId="0" applyNumberFormat="1" applyFont="1" applyFill="1" applyBorder="1" applyAlignment="1">
      <alignment horizontal="center"/>
    </xf>
    <xf numFmtId="165" fontId="4"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165" fontId="9" fillId="2" borderId="2" xfId="0" applyNumberFormat="1" applyFont="1" applyFill="1" applyBorder="1" applyAlignment="1">
      <alignment horizontal="center" vertical="center"/>
    </xf>
    <xf numFmtId="0" fontId="9" fillId="2" borderId="1" xfId="0" applyFont="1" applyFill="1" applyBorder="1" applyAlignment="1">
      <alignment horizontal="right" vertical="center"/>
    </xf>
    <xf numFmtId="0" fontId="0" fillId="0" borderId="1" xfId="0" applyBorder="1" applyAlignment="1">
      <alignment horizontal="justify"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1" fontId="4" fillId="2" borderId="1" xfId="0" applyNumberFormat="1" applyFont="1" applyFill="1" applyBorder="1" applyAlignment="1">
      <alignment horizontal="center" vertical="center"/>
    </xf>
    <xf numFmtId="0" fontId="11" fillId="2" borderId="1" xfId="0" applyFont="1" applyFill="1" applyBorder="1" applyAlignment="1">
      <alignment horizontal="center" vertical="center" wrapText="1"/>
    </xf>
    <xf numFmtId="0" fontId="4" fillId="0" borderId="1" xfId="0" applyFont="1" applyBorder="1" applyAlignment="1">
      <alignment horizontal="justify" wrapText="1"/>
    </xf>
    <xf numFmtId="0" fontId="3" fillId="2" borderId="1" xfId="0" applyFont="1" applyFill="1" applyBorder="1" applyAlignment="1">
      <alignment horizontal="center" vertical="center"/>
    </xf>
    <xf numFmtId="0" fontId="11" fillId="2" borderId="1" xfId="0" applyFont="1" applyFill="1" applyBorder="1" applyAlignment="1">
      <alignment horizontal="center" vertical="center"/>
    </xf>
    <xf numFmtId="1" fontId="4" fillId="2" borderId="1" xfId="0" applyNumberFormat="1" applyFont="1" applyFill="1" applyBorder="1" applyAlignment="1">
      <alignment horizontal="center"/>
    </xf>
    <xf numFmtId="0" fontId="11" fillId="2" borderId="1" xfId="0" applyFont="1" applyFill="1" applyBorder="1" applyAlignment="1">
      <alignment horizontal="justify" vertical="center"/>
    </xf>
    <xf numFmtId="0" fontId="11" fillId="2" borderId="1" xfId="0" applyFont="1" applyFill="1" applyBorder="1" applyAlignment="1">
      <alignment horizontal="justify" vertical="center" wrapText="1"/>
    </xf>
    <xf numFmtId="165" fontId="11" fillId="2" borderId="2" xfId="0" applyNumberFormat="1" applyFont="1" applyFill="1" applyBorder="1" applyAlignment="1">
      <alignment horizontal="center" vertical="center"/>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165" fontId="12" fillId="2" borderId="2" xfId="0" applyNumberFormat="1" applyFont="1" applyFill="1" applyBorder="1" applyAlignment="1">
      <alignment horizontal="center" vertical="center"/>
    </xf>
    <xf numFmtId="0" fontId="13" fillId="2" borderId="1" xfId="0" applyFont="1" applyFill="1" applyBorder="1" applyAlignment="1">
      <alignment horizontal="center" vertical="center"/>
    </xf>
    <xf numFmtId="0" fontId="0" fillId="0" borderId="0" xfId="0" applyAlignment="1">
      <alignment horizontal="center"/>
    </xf>
    <xf numFmtId="0" fontId="0" fillId="0" borderId="1" xfId="0" applyBorder="1" applyAlignment="1">
      <alignment horizontal="left" vertical="center" wrapText="1"/>
    </xf>
    <xf numFmtId="0" fontId="0" fillId="2" borderId="1" xfId="0"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2"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14" fillId="0" borderId="1" xfId="0" applyFont="1" applyBorder="1" applyAlignment="1">
      <alignment horizontal="center" vertical="center"/>
    </xf>
    <xf numFmtId="2" fontId="5" fillId="0" borderId="1" xfId="0" applyNumberFormat="1" applyFont="1" applyBorder="1" applyAlignment="1">
      <alignment horizontal="center" vertical="center"/>
    </xf>
    <xf numFmtId="0" fontId="15" fillId="0" borderId="1" xfId="0" applyFont="1" applyBorder="1" applyAlignment="1">
      <alignment horizontal="justify" vertical="center" wrapText="1"/>
    </xf>
    <xf numFmtId="2" fontId="7" fillId="0" borderId="1" xfId="0" applyNumberFormat="1" applyFont="1" applyBorder="1" applyAlignment="1">
      <alignment horizontal="center" vertical="center"/>
    </xf>
    <xf numFmtId="165" fontId="5" fillId="0" borderId="1" xfId="0" applyNumberFormat="1" applyFont="1" applyBorder="1" applyAlignment="1">
      <alignment horizontal="left" vertical="center"/>
    </xf>
    <xf numFmtId="0" fontId="16" fillId="3"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xf>
    <xf numFmtId="2" fontId="1" fillId="0" borderId="1" xfId="0" applyNumberFormat="1" applyFont="1" applyBorder="1" applyAlignment="1">
      <alignment horizontal="center" vertical="center"/>
    </xf>
    <xf numFmtId="0" fontId="0" fillId="0" borderId="1" xfId="0" applyBorder="1" applyAlignment="1">
      <alignment horizontal="left" wrapText="1"/>
    </xf>
    <xf numFmtId="0" fontId="17" fillId="0" borderId="0" xfId="0" applyFont="1"/>
    <xf numFmtId="164" fontId="14" fillId="0" borderId="1" xfId="0" applyNumberFormat="1" applyFont="1" applyBorder="1"/>
    <xf numFmtId="0" fontId="18" fillId="0" borderId="1" xfId="0" applyFont="1" applyBorder="1" applyAlignment="1">
      <alignment horizontal="center"/>
    </xf>
    <xf numFmtId="0" fontId="19" fillId="0" borderId="1" xfId="0" applyFont="1" applyBorder="1" applyAlignment="1">
      <alignment horizontal="center" vertical="center"/>
    </xf>
    <xf numFmtId="0" fontId="19" fillId="0" borderId="1" xfId="0" applyFont="1" applyBorder="1" applyAlignment="1">
      <alignment wrapText="1"/>
    </xf>
    <xf numFmtId="164" fontId="19" fillId="0" borderId="1" xfId="0" applyNumberFormat="1" applyFont="1" applyBorder="1" applyAlignment="1">
      <alignment vertical="center"/>
    </xf>
    <xf numFmtId="0" fontId="14" fillId="0" borderId="1" xfId="0" applyFont="1" applyBorder="1" applyAlignment="1">
      <alignment horizontal="right" wrapText="1"/>
    </xf>
    <xf numFmtId="0" fontId="24" fillId="2" borderId="1"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5" fillId="0" borderId="9" xfId="0" applyFont="1" applyBorder="1" applyAlignment="1">
      <alignment horizontal="center" vertical="center" wrapText="1"/>
    </xf>
    <xf numFmtId="0" fontId="23" fillId="2" borderId="1" xfId="0" applyFont="1" applyFill="1" applyBorder="1" applyAlignment="1">
      <alignment horizontal="center" vertical="center" wrapText="1"/>
    </xf>
    <xf numFmtId="43" fontId="23" fillId="2" borderId="1" xfId="2" applyFont="1" applyFill="1" applyBorder="1" applyAlignment="1">
      <alignment horizontal="center" vertical="center"/>
    </xf>
    <xf numFmtId="43" fontId="24" fillId="2" borderId="1" xfId="2" applyFont="1" applyFill="1" applyBorder="1" applyAlignment="1">
      <alignment horizontal="center" vertical="center"/>
    </xf>
    <xf numFmtId="0" fontId="26" fillId="2" borderId="0" xfId="0" applyFont="1" applyFill="1"/>
    <xf numFmtId="0" fontId="27" fillId="2" borderId="0" xfId="0" applyFont="1" applyFill="1" applyAlignment="1">
      <alignment horizontal="right"/>
    </xf>
    <xf numFmtId="0" fontId="27" fillId="2" borderId="1" xfId="0" applyFont="1" applyFill="1" applyBorder="1" applyAlignment="1">
      <alignment horizontal="center" vertical="center" wrapText="1"/>
    </xf>
    <xf numFmtId="0" fontId="27" fillId="2" borderId="1" xfId="0" applyFont="1" applyFill="1" applyBorder="1" applyAlignment="1">
      <alignment horizontal="left" vertical="center" wrapText="1"/>
    </xf>
    <xf numFmtId="0" fontId="27" fillId="2" borderId="4" xfId="0" applyFont="1" applyFill="1" applyBorder="1" applyAlignment="1">
      <alignment horizontal="center" vertical="center" wrapText="1"/>
    </xf>
    <xf numFmtId="0" fontId="29" fillId="0" borderId="9" xfId="0" applyFont="1" applyBorder="1" applyAlignment="1">
      <alignment horizontal="center" vertical="center" wrapText="1"/>
    </xf>
    <xf numFmtId="0" fontId="26" fillId="0" borderId="1" xfId="0" applyFont="1" applyBorder="1" applyAlignment="1">
      <alignment vertical="center" wrapText="1"/>
    </xf>
    <xf numFmtId="0" fontId="26" fillId="2" borderId="1" xfId="0" applyFont="1" applyFill="1" applyBorder="1" applyAlignment="1">
      <alignment horizontal="center" vertical="center" wrapText="1"/>
    </xf>
    <xf numFmtId="2" fontId="26" fillId="2" borderId="1" xfId="0" applyNumberFormat="1" applyFont="1" applyFill="1" applyBorder="1" applyAlignment="1">
      <alignment horizontal="center" vertical="center"/>
    </xf>
    <xf numFmtId="0" fontId="26" fillId="0" borderId="1" xfId="0" applyFont="1" applyBorder="1" applyAlignment="1">
      <alignment vertical="top" wrapText="1"/>
    </xf>
    <xf numFmtId="0" fontId="26" fillId="2" borderId="1" xfId="0" applyFont="1" applyFill="1" applyBorder="1" applyAlignment="1">
      <alignment horizontal="left" vertical="center" wrapText="1"/>
    </xf>
    <xf numFmtId="0" fontId="28" fillId="2" borderId="9" xfId="0" applyFont="1" applyFill="1" applyBorder="1" applyAlignment="1">
      <alignment horizontal="center" vertical="center" wrapText="1"/>
    </xf>
    <xf numFmtId="0" fontId="29" fillId="0" borderId="1" xfId="0" applyFont="1" applyBorder="1" applyAlignment="1">
      <alignment horizontal="justify" vertical="top" wrapText="1"/>
    </xf>
    <xf numFmtId="0" fontId="29" fillId="2" borderId="1" xfId="0" applyFont="1" applyFill="1" applyBorder="1" applyAlignment="1">
      <alignment horizontal="justify" vertical="top" wrapText="1"/>
    </xf>
    <xf numFmtId="0" fontId="26" fillId="2" borderId="1" xfId="0" applyFont="1" applyFill="1" applyBorder="1" applyAlignment="1">
      <alignment horizontal="left" vertical="center"/>
    </xf>
    <xf numFmtId="0" fontId="28" fillId="2" borderId="1" xfId="0" applyFont="1" applyFill="1" applyBorder="1" applyAlignment="1">
      <alignment horizontal="justify" vertical="top" wrapText="1"/>
    </xf>
    <xf numFmtId="0" fontId="26" fillId="0" borderId="1" xfId="0" applyFont="1" applyBorder="1" applyAlignment="1">
      <alignment horizontal="center" vertical="top" wrapText="1"/>
    </xf>
    <xf numFmtId="0" fontId="26" fillId="2" borderId="1" xfId="0" applyFont="1" applyFill="1" applyBorder="1" applyAlignment="1">
      <alignment horizontal="center" vertical="center"/>
    </xf>
    <xf numFmtId="2" fontId="27" fillId="2" borderId="1" xfId="0" applyNumberFormat="1" applyFont="1" applyFill="1" applyBorder="1" applyAlignment="1">
      <alignment horizontal="center" vertical="center"/>
    </xf>
    <xf numFmtId="0" fontId="23" fillId="2" borderId="1" xfId="0" applyFont="1" applyFill="1" applyBorder="1"/>
    <xf numFmtId="43" fontId="24" fillId="4" borderId="1" xfId="2" applyFont="1" applyFill="1" applyBorder="1" applyAlignment="1">
      <alignment horizontal="center" vertical="center"/>
    </xf>
    <xf numFmtId="0" fontId="30" fillId="0" borderId="0" xfId="0" applyFont="1" applyAlignment="1">
      <alignment horizontal="left" vertical="top" wrapText="1"/>
    </xf>
    <xf numFmtId="0" fontId="24" fillId="0" borderId="0" xfId="0" applyFont="1"/>
    <xf numFmtId="0" fontId="17" fillId="0" borderId="8" xfId="0" applyFont="1" applyBorder="1" applyAlignment="1">
      <alignment horizontal="center"/>
    </xf>
    <xf numFmtId="0" fontId="30" fillId="0" borderId="0" xfId="0" applyFont="1" applyAlignment="1">
      <alignment horizontal="left" vertical="top" wrapText="1"/>
    </xf>
    <xf numFmtId="0" fontId="24" fillId="2" borderId="10" xfId="0" applyFont="1" applyFill="1" applyBorder="1" applyAlignment="1">
      <alignment horizontal="right" vertical="center"/>
    </xf>
    <xf numFmtId="0" fontId="24" fillId="2" borderId="3" xfId="0" applyFont="1" applyFill="1" applyBorder="1" applyAlignment="1">
      <alignment horizontal="right" vertical="center"/>
    </xf>
    <xf numFmtId="0" fontId="24" fillId="2" borderId="4" xfId="0" applyFont="1" applyFill="1" applyBorder="1" applyAlignment="1">
      <alignment horizontal="right" vertical="center"/>
    </xf>
    <xf numFmtId="0" fontId="24" fillId="2" borderId="2" xfId="0" applyFont="1" applyFill="1" applyBorder="1" applyAlignment="1">
      <alignment horizontal="right" vertical="center"/>
    </xf>
    <xf numFmtId="0" fontId="28" fillId="2" borderId="1" xfId="0" applyFont="1" applyFill="1" applyBorder="1" applyAlignment="1">
      <alignment horizontal="center" vertical="center" wrapText="1"/>
    </xf>
    <xf numFmtId="0" fontId="1" fillId="0" borderId="0" xfId="0" applyFont="1" applyAlignment="1">
      <alignment horizont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2" borderId="2" xfId="0" applyFont="1" applyFill="1" applyBorder="1" applyAlignment="1">
      <alignment horizontal="right" vertical="center"/>
    </xf>
    <xf numFmtId="0" fontId="1" fillId="2" borderId="3" xfId="0" applyFont="1" applyFill="1" applyBorder="1" applyAlignment="1">
      <alignment horizontal="right" vertical="center"/>
    </xf>
    <xf numFmtId="0" fontId="1" fillId="2" borderId="4" xfId="0" applyFont="1" applyFill="1" applyBorder="1" applyAlignment="1">
      <alignment horizontal="right" vertical="center"/>
    </xf>
    <xf numFmtId="0" fontId="14" fillId="0" borderId="2" xfId="0" applyFont="1" applyBorder="1" applyAlignment="1">
      <alignment horizontal="right" vertical="center"/>
    </xf>
    <xf numFmtId="0" fontId="14" fillId="0" borderId="3" xfId="0" applyFont="1" applyBorder="1" applyAlignment="1">
      <alignment horizontal="right" vertical="center"/>
    </xf>
    <xf numFmtId="0" fontId="14" fillId="0" borderId="4" xfId="0" applyFont="1" applyBorder="1" applyAlignment="1">
      <alignment horizontal="right" vertical="center"/>
    </xf>
    <xf numFmtId="0" fontId="2" fillId="0" borderId="1" xfId="0" applyFont="1" applyBorder="1" applyAlignment="1">
      <alignment horizontal="left" vertical="center" wrapText="1"/>
    </xf>
    <xf numFmtId="2" fontId="2" fillId="2" borderId="2" xfId="0" applyNumberFormat="1" applyFont="1" applyFill="1" applyBorder="1" applyAlignment="1">
      <alignment horizontal="center" vertical="center" wrapText="1"/>
    </xf>
    <xf numFmtId="2" fontId="2" fillId="2" borderId="3" xfId="0" applyNumberFormat="1" applyFont="1" applyFill="1" applyBorder="1" applyAlignment="1">
      <alignment horizontal="center" vertical="center" wrapText="1"/>
    </xf>
    <xf numFmtId="2" fontId="2" fillId="2" borderId="4" xfId="0" applyNumberFormat="1" applyFont="1" applyFill="1" applyBorder="1" applyAlignment="1">
      <alignment horizontal="center" vertical="center" wrapText="1"/>
    </xf>
    <xf numFmtId="0" fontId="23" fillId="2" borderId="1" xfId="0" applyFont="1" applyFill="1" applyBorder="1" applyAlignment="1">
      <alignment horizontal="left" vertical="center" wrapText="1"/>
    </xf>
    <xf numFmtId="0" fontId="23" fillId="2" borderId="1" xfId="0" applyNumberFormat="1" applyFont="1" applyFill="1" applyBorder="1" applyAlignment="1">
      <alignment horizontal="center" vertical="center"/>
    </xf>
    <xf numFmtId="0" fontId="23" fillId="2" borderId="4" xfId="0" applyFont="1" applyFill="1" applyBorder="1" applyAlignment="1">
      <alignment horizontal="center" vertical="center" wrapText="1"/>
    </xf>
    <xf numFmtId="0" fontId="22" fillId="2" borderId="1" xfId="0" applyFont="1" applyFill="1" applyBorder="1" applyAlignment="1">
      <alignment horizontal="justify" vertical="center" wrapText="1"/>
    </xf>
  </cellXfs>
  <cellStyles count="3">
    <cellStyle name="Comma" xfId="2" builtinId="3"/>
    <cellStyle name="Normal" xfId="0" builtinId="0"/>
    <cellStyle name="Normal 2" xfId="1" xr:uid="{00000000-0005-0000-0000-000001000000}"/>
  </cellStyles>
  <dxfs count="0"/>
  <tableStyles count="0" defaultTableStyle="TableStyleMedium2" defaultPivotStyle="PivotStyleMedium9"/>
  <colors>
    <mruColors>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2-kkr-07c\NETWORK%20KKR%20ELECTRICAL\Manoj%20Grover\Civil\Store%20Shed%20Work\Annexures\Estim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r2-kkr-07c\NETWORK%20KKR%20ELECTRICAL\Manoj%20Grover\Civil\Store%20Shed%20Work\Annexures\Estimate%20of%20Store%20She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r2-kkr-07c\NETWORK%20KKR%20ELECTRICAL\Manoj%20Grover\Civil\Store%20Shed%20Work\Annexures\Estimate%20of%20Bushing%20She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r2-kkr-07c\NETWORK%20KKR%20ELECTRICAL\Manoj%20Grover\Civil\Store%20Shed%20Work\Annexures\Estimate%20of%20Main%20Lift%20She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r2-kkr-07c\NETWORK%20KKR%20ELECTRICAL\Manoj%20Grover\Civil\Store%20Shed%20Work\Annexures\Estimate%20of%20CKL-1%20store%20partetion%20wor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Estimate"/>
      <sheetName val="Sheet1"/>
    </sheetNames>
    <sheetDataSet>
      <sheetData sheetId="0" refreshError="1"/>
      <sheetData sheetId="1" refreshError="1">
        <row r="4">
          <cell r="B4" t="str">
            <v>15.2.2</v>
          </cell>
          <cell r="C4" t="str">
            <v>Demolishing cement concrete manually/ by mechanical means including disposal of material within 50 metres lead as per directionof Engineer - in - charge Nominal concrete 1:4:8 or leaner mix (i/c equivalent design mix)</v>
          </cell>
        </row>
        <row r="5">
          <cell r="K5" t="str">
            <v>Cum</v>
          </cell>
        </row>
        <row r="8">
          <cell r="J8">
            <v>32</v>
          </cell>
        </row>
        <row r="9">
          <cell r="B9" t="str">
            <v>2.6.1</v>
          </cell>
          <cell r="C9" t="str">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ell>
        </row>
        <row r="12">
          <cell r="J12">
            <v>439</v>
          </cell>
          <cell r="K12" t="str">
            <v>CUM</v>
          </cell>
        </row>
        <row r="13">
          <cell r="B13">
            <v>2.25</v>
          </cell>
          <cell r="C13" t="str">
            <v>Filling available excavated earth (excluding rock) in trenches, plinth, sides of foundations etc. in layers not exceeding 20cm in depth, consolidating each deposited layer by ramming and watering, lead up to 50 m and lift upto 1.5 m.</v>
          </cell>
        </row>
        <row r="15">
          <cell r="J15">
            <v>308</v>
          </cell>
        </row>
        <row r="16">
          <cell r="B16" t="str">
            <v>4.1.8</v>
          </cell>
          <cell r="C16" t="str">
            <v>Providing and laying in position cement concrete of specified grade excluding the cost of centering and shuttering - All work up to plinth level : 1:4:8 (1 Cement : 4 coarse sand (zone-III) : 8 graded stone aggregate 40 mm nominal size)</v>
          </cell>
        </row>
        <row r="20">
          <cell r="J20">
            <v>13</v>
          </cell>
        </row>
        <row r="21">
          <cell r="B21" t="str">
            <v>5.1.2</v>
          </cell>
          <cell r="C21" t="str">
            <v>Providing and laying in position specified grade of reinforced cement concrete, excluding the cost of centering, shuttering, finishing and reinforcement - All work up to plinth level : 1:1.5:3 (1 cement : 1.5 coarse sand (zone-III): 3 graded stone aggregate 20 mm nominal size).</v>
          </cell>
        </row>
        <row r="29">
          <cell r="J29">
            <v>156</v>
          </cell>
        </row>
        <row r="30">
          <cell r="B30" t="str">
            <v>5.9.1</v>
          </cell>
          <cell r="C30" t="str">
            <v>Centering and shuttering including strutting, propping etc. and removal of form for all heights : Foundations, footings, bases of columns, etc. for mass concrete</v>
          </cell>
        </row>
        <row r="39">
          <cell r="J39">
            <v>253</v>
          </cell>
        </row>
        <row r="40">
          <cell r="B40" t="str">
            <v>5.22.6</v>
          </cell>
          <cell r="C40" t="str">
            <v>Steel reinforcement for R.C.C. work including straightening, cutting, bending, placing in position and binding all complete upto plinth level.Thermo-Mechanically Treated bars of grade Fe-500D or more</v>
          </cell>
        </row>
        <row r="43">
          <cell r="K43" t="str">
            <v>KG</v>
          </cell>
        </row>
        <row r="44">
          <cell r="B44" t="str">
            <v>12.41.2</v>
          </cell>
          <cell r="C44" t="str">
            <v>Providing and fixing on wall face unplasticised Rigid PVC rain water pipes conforming to IS : 13592 Type A, including jointing with seal ring conforming to IS : 5382, leaving 10 mm gap for thermal expansion, (i) Single socketed pipes.</v>
          </cell>
        </row>
        <row r="48">
          <cell r="J48">
            <v>35</v>
          </cell>
        </row>
        <row r="49">
          <cell r="C49" t="str">
            <v>Providing and fixing on wall face unplasticised - PVC moulded fittings/ accessories for unplasticised Rigid PVC rain water pipes conforming to IS : 13592 Type A, including jointing with seal ring conforming to IS : 5382, leaving 10 mm gap for thermal expansion.</v>
          </cell>
        </row>
        <row r="50">
          <cell r="B50" t="str">
            <v>12.42.6.2</v>
          </cell>
        </row>
        <row r="52">
          <cell r="J52">
            <v>6</v>
          </cell>
        </row>
        <row r="53">
          <cell r="C53" t="str">
            <v>Providing and fixing on wall face unplasticised - PVC moulded fittings/ accessories for unplasticised Rigid PVC rain water pipes conforming to IS : 13592 Type A, including jointing with seal ring conforming to IS : 5382, leaving 10 mm gap for thermal expansion.</v>
          </cell>
        </row>
        <row r="54">
          <cell r="B54" t="str">
            <v>12.42.1.2</v>
          </cell>
        </row>
        <row r="56">
          <cell r="J56">
            <v>18</v>
          </cell>
        </row>
        <row r="57">
          <cell r="B57">
            <v>12.5</v>
          </cell>
        </row>
        <row r="66">
          <cell r="J66">
            <v>1248</v>
          </cell>
        </row>
        <row r="67">
          <cell r="C67" t="str">
            <v>Providing and fixing precoated galvanised steel sheet roofing accessories 0.50 mm (+0.05 %) total coated thickness, Zinc coating 120 grams per sqm as per IS: 277, in 240 mpa steel grade, 5-7 microns epoxyprimer on both side of the sheet and polyester top coat 15-18 microns using self drilling/ self tapping screws complete :</v>
          </cell>
        </row>
        <row r="68">
          <cell r="B68" t="str">
            <v>12.51.1</v>
          </cell>
          <cell r="C68" t="str">
            <v>Ridges plain (500 - 600mm)</v>
          </cell>
        </row>
        <row r="70">
          <cell r="J70">
            <v>47</v>
          </cell>
        </row>
        <row r="71">
          <cell r="B71">
            <v>12.51</v>
          </cell>
          <cell r="C71" t="str">
            <v>Providing and fixing precoated galvanised steel sheet roofing accessories 0.50 mm (+0.05 %) total coated thickness, Zinc coating 120 grams per sqm as per IS: 277, in 240 mpa steel grade, 5-7 microns epoxyprimer on both side of the sheet and polyester top coat 15-18 microns using self drilling/ self tapping screws complete :</v>
          </cell>
        </row>
        <row r="72">
          <cell r="B72" t="str">
            <v>12.51.6</v>
          </cell>
          <cell r="C72" t="str">
            <v>Gutter (600 mm over all girth)</v>
          </cell>
        </row>
        <row r="74">
          <cell r="J74">
            <v>94</v>
          </cell>
        </row>
        <row r="75">
          <cell r="B75">
            <v>10.16</v>
          </cell>
          <cell r="C75" t="str">
            <v>Steel work in built up tubular (round, square or rectangular hollow tubes etc.) trusses etc., including cutting, hoisting, fixing in position andapplying a priming coat of approved steel primer, including welding and bolted with special shaped washers etc. complete Hot finished welded type tubes</v>
          </cell>
        </row>
        <row r="86">
          <cell r="K86" t="str">
            <v>Kg</v>
          </cell>
        </row>
        <row r="87">
          <cell r="J87">
            <v>15306</v>
          </cell>
        </row>
        <row r="89">
          <cell r="B89">
            <v>10.199999999999999</v>
          </cell>
          <cell r="C89" t="str">
            <v>Structural steel work riveted, bolted or welded in built up sections, trusses and framed work, including cutting, hoisting, fixing in position andapplying a priming coat of approved steel primer all complete</v>
          </cell>
        </row>
        <row r="103">
          <cell r="J103">
            <v>2325</v>
          </cell>
        </row>
        <row r="104">
          <cell r="B104">
            <v>10.19</v>
          </cell>
          <cell r="C104" t="str">
            <v>Providing and fixing M.S round holding down bolts with nuts and washer plates complete.</v>
          </cell>
        </row>
        <row r="105">
          <cell r="J105">
            <v>160</v>
          </cell>
        </row>
        <row r="106">
          <cell r="C106" t="str">
            <v>Finishing walls with water proofing cement paint of required shade :</v>
          </cell>
        </row>
        <row r="107">
          <cell r="B107" t="str">
            <v>13.44.1</v>
          </cell>
        </row>
        <row r="110">
          <cell r="J110">
            <v>15</v>
          </cell>
        </row>
        <row r="111">
          <cell r="C111" t="str">
            <v>Painting with synthetic enamel paint of approved brand and manufacture to  give an even shade :</v>
          </cell>
        </row>
        <row r="112">
          <cell r="B112" t="str">
            <v>13.61.1</v>
          </cell>
        </row>
        <row r="135">
          <cell r="J135">
            <v>527</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Estimate"/>
      <sheetName val="Sheet1"/>
    </sheetNames>
    <sheetDataSet>
      <sheetData sheetId="0"/>
      <sheetData sheetId="1">
        <row r="5">
          <cell r="B5" t="str">
            <v>10.25.2</v>
          </cell>
        </row>
        <row r="28">
          <cell r="B28">
            <v>12.5</v>
          </cell>
          <cell r="C28" t="str">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ell>
        </row>
        <row r="40">
          <cell r="B40" t="str">
            <v>15.2.2</v>
          </cell>
          <cell r="C40" t="str">
            <v>Demolishing cement concrete manually/ by mechanical means including disposal of material within 50 metres lead as per directionof Engineer - in - charge Nominal concrete 1:4:8 or leaner mix (i/c equivalent design mix)</v>
          </cell>
        </row>
        <row r="49">
          <cell r="B49" t="str">
            <v>2.6.1</v>
          </cell>
          <cell r="C49" t="str">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ell>
        </row>
        <row r="60">
          <cell r="B60" t="str">
            <v>4.1.3</v>
          </cell>
        </row>
        <row r="69">
          <cell r="B69" t="str">
            <v>5.1.2</v>
          </cell>
          <cell r="C69" t="str">
            <v>Providing and laying in position specified grade of reinforced cement concrete, excluding the cost of centering, shuttering, finishing and reinforcement - All work up to plinth level : 1:1.5:3 (1 cement : 1.5 coarse sand (zone-III): 3 graded stone aggregate 20 mm nominal size).</v>
          </cell>
        </row>
        <row r="74">
          <cell r="B74" t="str">
            <v>5.22.6</v>
          </cell>
          <cell r="C74" t="str">
            <v>Steel reinforcement for R.C.C. work including straightening, cutting, bending, placing in position and binding all complete upto plinth level.Thermo-Mechanically Treated bars of grade Fe-500D or more</v>
          </cell>
        </row>
        <row r="79">
          <cell r="B79" t="str">
            <v>5.9.1</v>
          </cell>
          <cell r="C79" t="str">
            <v>Centering and shuttering including strutting, propping etc. and removal of form for all heights : Foundations, footings, bases of columns, etc. for mass concrete</v>
          </cell>
        </row>
        <row r="85">
          <cell r="B85" t="str">
            <v>13.61.1</v>
          </cell>
        </row>
      </sheetData>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Estimate"/>
      <sheetName val="Sheet1"/>
    </sheetNames>
    <sheetDataSet>
      <sheetData sheetId="0"/>
      <sheetData sheetId="1">
        <row r="5">
          <cell r="B5" t="str">
            <v>10.25.2</v>
          </cell>
        </row>
        <row r="12">
          <cell r="J12">
            <v>2559</v>
          </cell>
        </row>
        <row r="13">
          <cell r="B13">
            <v>12.5</v>
          </cell>
          <cell r="C13" t="str">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ell>
        </row>
        <row r="17">
          <cell r="J17">
            <v>250</v>
          </cell>
        </row>
        <row r="18">
          <cell r="B18" t="str">
            <v>15.2.2</v>
          </cell>
          <cell r="C18" t="str">
            <v>Demolishing cement concrete manually/ by mechanical means including disposal of material within 50 metres lead as per directionof Engineer - in - charge Nominal concrete 1:4:8 or leaner mix (i/c equivalent design mix)</v>
          </cell>
        </row>
        <row r="21">
          <cell r="J21">
            <v>1</v>
          </cell>
        </row>
        <row r="22">
          <cell r="B22" t="str">
            <v>2.6.1</v>
          </cell>
          <cell r="C22" t="str">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ell>
        </row>
        <row r="25">
          <cell r="J25">
            <v>2</v>
          </cell>
        </row>
        <row r="27">
          <cell r="B27" t="str">
            <v>4.1.3</v>
          </cell>
        </row>
        <row r="30">
          <cell r="J30">
            <v>2</v>
          </cell>
        </row>
        <row r="31">
          <cell r="B31" t="str">
            <v>5.1.2</v>
          </cell>
          <cell r="C31" t="str">
            <v>Providing and laying in position specified grade of reinforced cement concrete, excluding the cost of centering, shuttering, finishing and reinforcement - All work up to plinth level : 1:1.5:3 (1 cement : 1.5 coarse sand (zone-III): 3 graded stone aggregate 20 mm nominal size).</v>
          </cell>
        </row>
        <row r="34">
          <cell r="J34">
            <v>25</v>
          </cell>
        </row>
        <row r="35">
          <cell r="B35" t="str">
            <v>5.22.6</v>
          </cell>
          <cell r="C35" t="str">
            <v>Steel reinforcement for R.C.C. work including straightening, cutting, bending, placing in position and binding all complete upto plinth level.Thermo-Mechanically Treated bars of grade Fe-500D or more</v>
          </cell>
        </row>
        <row r="38">
          <cell r="J38">
            <v>625</v>
          </cell>
        </row>
        <row r="39">
          <cell r="B39" t="str">
            <v>5.9.1</v>
          </cell>
          <cell r="C39" t="str">
            <v>Centering and shuttering including strutting, propping etc. and removal of form for all heights : Foundations, footings, bases of columns, etc. for mass concrete</v>
          </cell>
        </row>
        <row r="42">
          <cell r="J42">
            <v>100</v>
          </cell>
        </row>
        <row r="43">
          <cell r="B43" t="str">
            <v>13.61.1</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Estimate"/>
      <sheetName val="Sheet1"/>
    </sheetNames>
    <sheetDataSet>
      <sheetData sheetId="0"/>
      <sheetData sheetId="1">
        <row r="5">
          <cell r="B5" t="str">
            <v>10.25.2</v>
          </cell>
        </row>
        <row r="15">
          <cell r="J15">
            <v>653</v>
          </cell>
        </row>
        <row r="17">
          <cell r="B17">
            <v>12.5</v>
          </cell>
          <cell r="C17" t="str">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ell>
        </row>
        <row r="21">
          <cell r="J21">
            <v>103</v>
          </cell>
        </row>
        <row r="22">
          <cell r="B22" t="str">
            <v>15.2.2</v>
          </cell>
          <cell r="C22" t="str">
            <v>Demolishing cement concrete manually/ by mechanical means including disposal of material within 50 metres lead as per directionof Engineer - in - charge Nominal concrete 1:4:8 or leaner mix (i/c equivalent design mix)</v>
          </cell>
        </row>
        <row r="26">
          <cell r="J26">
            <v>0.23</v>
          </cell>
        </row>
        <row r="27">
          <cell r="B27" t="str">
            <v>2.6.1</v>
          </cell>
          <cell r="C27" t="str">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ell>
        </row>
        <row r="31">
          <cell r="J31">
            <v>2</v>
          </cell>
        </row>
        <row r="34">
          <cell r="B34" t="str">
            <v>4.1.3</v>
          </cell>
        </row>
        <row r="38">
          <cell r="J38">
            <v>8</v>
          </cell>
        </row>
        <row r="39">
          <cell r="B39" t="str">
            <v>5.1.2</v>
          </cell>
          <cell r="C39" t="str">
            <v>Providing and laying in position specified grade of reinforced cement concrete, excluding the cost of centering, shuttering, finishing and reinforcement - All work up to plinth level : 1:1.5:3 (1 cement : 1.5 coarse sand (zone-III): 3 graded stone aggregate 20 mm nominal size).</v>
          </cell>
        </row>
        <row r="45">
          <cell r="J45">
            <v>36</v>
          </cell>
        </row>
        <row r="46">
          <cell r="B46" t="str">
            <v>5.22.6</v>
          </cell>
          <cell r="C46" t="str">
            <v>Steel reinforcement for R.C.C. work including straightening, cutting, bending, placing in position and binding all complete upto plinth level.Thermo-Mechanically Treated bars of grade Fe-500D or more</v>
          </cell>
        </row>
        <row r="50">
          <cell r="J50">
            <v>900</v>
          </cell>
        </row>
        <row r="51">
          <cell r="B51" t="str">
            <v>5.9.1</v>
          </cell>
          <cell r="C51" t="str">
            <v>Centering and shuttering including strutting, propping etc. and removal of form for all heights : Foundations, footings, bases of columns, etc. for mass concrete</v>
          </cell>
        </row>
        <row r="58">
          <cell r="J58">
            <v>3</v>
          </cell>
        </row>
        <row r="60">
          <cell r="B60" t="str">
            <v>13.61.1</v>
          </cell>
        </row>
        <row r="70">
          <cell r="J70">
            <v>30</v>
          </cell>
        </row>
      </sheetData>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Estimate"/>
      <sheetName val="Sheet1"/>
    </sheetNames>
    <sheetDataSet>
      <sheetData sheetId="0"/>
      <sheetData sheetId="1">
        <row r="5">
          <cell r="B5" t="str">
            <v>10.25.2</v>
          </cell>
        </row>
        <row r="12">
          <cell r="J12">
            <v>680</v>
          </cell>
        </row>
        <row r="14">
          <cell r="B14">
            <v>12.5</v>
          </cell>
          <cell r="C14" t="str">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ell>
        </row>
        <row r="17">
          <cell r="J17">
            <v>90</v>
          </cell>
        </row>
      </sheetData>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6"/>
  <sheetViews>
    <sheetView view="pageBreakPreview" zoomScale="60" zoomScaleNormal="100" workbookViewId="0">
      <selection activeCell="C9" sqref="C9"/>
    </sheetView>
  </sheetViews>
  <sheetFormatPr defaultRowHeight="15" x14ac:dyDescent="0.25"/>
  <cols>
    <col min="2" max="2" width="20.28515625" customWidth="1"/>
    <col min="3" max="3" width="40.7109375" customWidth="1"/>
    <col min="4" max="4" width="19.85546875" customWidth="1"/>
  </cols>
  <sheetData>
    <row r="2" spans="1:12" ht="23.25" x14ac:dyDescent="0.35">
      <c r="A2" s="94" t="s">
        <v>92</v>
      </c>
      <c r="B2" s="94"/>
      <c r="C2" s="94"/>
      <c r="D2" s="94"/>
      <c r="E2" s="58"/>
      <c r="F2" s="58"/>
      <c r="G2" s="58"/>
      <c r="H2" s="58"/>
      <c r="I2" s="58"/>
      <c r="J2" s="58"/>
      <c r="K2" s="58"/>
      <c r="L2" s="58"/>
    </row>
    <row r="3" spans="1:12" ht="21" x14ac:dyDescent="0.35">
      <c r="A3" s="60" t="s">
        <v>93</v>
      </c>
      <c r="B3" s="60" t="s">
        <v>37</v>
      </c>
      <c r="C3" s="60" t="s">
        <v>94</v>
      </c>
      <c r="D3" s="60" t="s">
        <v>40</v>
      </c>
    </row>
    <row r="4" spans="1:12" ht="56.25" x14ac:dyDescent="0.3">
      <c r="A4" s="61">
        <v>1</v>
      </c>
      <c r="B4" s="61" t="s">
        <v>90</v>
      </c>
      <c r="C4" s="62" t="s">
        <v>96</v>
      </c>
      <c r="D4" s="63" t="e">
        <f>#REF!</f>
        <v>#REF!</v>
      </c>
    </row>
    <row r="5" spans="1:12" ht="56.25" x14ac:dyDescent="0.3">
      <c r="A5" s="61">
        <v>2</v>
      </c>
      <c r="B5" s="61" t="s">
        <v>91</v>
      </c>
      <c r="C5" s="62" t="s">
        <v>97</v>
      </c>
      <c r="D5" s="63" t="e">
        <f>#REF!</f>
        <v>#REF!</v>
      </c>
    </row>
    <row r="6" spans="1:12" ht="18.75" x14ac:dyDescent="0.3">
      <c r="A6" s="19"/>
      <c r="B6" s="19"/>
      <c r="C6" s="64" t="s">
        <v>95</v>
      </c>
      <c r="D6" s="59" t="e">
        <f>SUM(D4:D5)</f>
        <v>#REF!</v>
      </c>
    </row>
  </sheetData>
  <mergeCells count="1">
    <mergeCell ref="A2:D2"/>
  </mergeCells>
  <pageMargins left="0.7" right="0.7" top="0.75" bottom="0.75" header="0.3" footer="0.3"/>
  <pageSetup paperSize="9" scale="9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0"/>
  <sheetViews>
    <sheetView topLeftCell="A7" workbookViewId="0">
      <selection activeCell="G8" sqref="G8"/>
    </sheetView>
  </sheetViews>
  <sheetFormatPr defaultRowHeight="15" x14ac:dyDescent="0.25"/>
  <cols>
    <col min="2" max="2" width="13.28515625" customWidth="1"/>
    <col min="3" max="3" width="44.42578125" customWidth="1"/>
    <col min="5" max="5" width="10.140625" customWidth="1"/>
    <col min="6" max="6" width="13.85546875" customWidth="1"/>
    <col min="7" max="7" width="19.5703125" bestFit="1" customWidth="1"/>
    <col min="8" max="8" width="22.5703125" customWidth="1"/>
  </cols>
  <sheetData>
    <row r="1" spans="1:8" x14ac:dyDescent="0.25">
      <c r="G1" s="101" t="s">
        <v>34</v>
      </c>
      <c r="H1" s="101"/>
    </row>
    <row r="2" spans="1:8" ht="15" customHeight="1" x14ac:dyDescent="0.25">
      <c r="A2" s="102" t="s">
        <v>80</v>
      </c>
      <c r="B2" s="103"/>
      <c r="C2" s="103"/>
      <c r="D2" s="103"/>
      <c r="E2" s="103"/>
      <c r="F2" s="103"/>
      <c r="G2" s="103"/>
      <c r="H2" s="103"/>
    </row>
    <row r="3" spans="1:8" x14ac:dyDescent="0.25">
      <c r="A3" s="104"/>
      <c r="B3" s="105"/>
      <c r="C3" s="105"/>
      <c r="D3" s="105"/>
      <c r="E3" s="105"/>
      <c r="F3" s="105"/>
      <c r="G3" s="105"/>
      <c r="H3" s="105"/>
    </row>
    <row r="4" spans="1:8" ht="30" x14ac:dyDescent="0.25">
      <c r="A4" s="45" t="s">
        <v>36</v>
      </c>
      <c r="B4" s="46" t="s">
        <v>1</v>
      </c>
      <c r="C4" s="45" t="s">
        <v>37</v>
      </c>
      <c r="D4" s="45" t="s">
        <v>38</v>
      </c>
      <c r="E4" s="45" t="s">
        <v>39</v>
      </c>
      <c r="F4" s="45" t="s">
        <v>7</v>
      </c>
      <c r="G4" s="45" t="s">
        <v>40</v>
      </c>
      <c r="H4" s="45" t="s">
        <v>8</v>
      </c>
    </row>
    <row r="5" spans="1:8" x14ac:dyDescent="0.25">
      <c r="A5" s="106" t="s">
        <v>41</v>
      </c>
      <c r="B5" s="107"/>
      <c r="C5" s="107"/>
      <c r="D5" s="107"/>
      <c r="E5" s="107"/>
      <c r="F5" s="107"/>
      <c r="G5" s="107"/>
      <c r="H5" s="107"/>
    </row>
    <row r="6" spans="1:8" ht="120" x14ac:dyDescent="0.25">
      <c r="A6" s="10">
        <v>1</v>
      </c>
      <c r="B6" s="10" t="str">
        <f>[5]Estimate!B5</f>
        <v>10.25.2</v>
      </c>
      <c r="C6" s="6" t="s">
        <v>57</v>
      </c>
      <c r="D6" s="47" t="s">
        <v>23</v>
      </c>
      <c r="E6" s="47">
        <v>131</v>
      </c>
      <c r="F6" s="47">
        <f>[5]Estimate!J12</f>
        <v>680</v>
      </c>
      <c r="G6" s="47">
        <f>E6*F6</f>
        <v>89080</v>
      </c>
      <c r="H6" s="15"/>
    </row>
    <row r="7" spans="1:8" ht="270" x14ac:dyDescent="0.25">
      <c r="A7" s="10">
        <v>2</v>
      </c>
      <c r="B7" s="10">
        <f>[5]Estimate!B14</f>
        <v>12.5</v>
      </c>
      <c r="C7" s="6" t="str">
        <f>[5]Estimate!C14</f>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
      <c r="D7" s="15" t="s">
        <v>20</v>
      </c>
      <c r="E7" s="47">
        <v>627.54999999999995</v>
      </c>
      <c r="F7" s="15">
        <f>[5]Estimate!J17</f>
        <v>90</v>
      </c>
      <c r="G7" s="47">
        <f t="shared" ref="G7:G8" si="0">E7*F7</f>
        <v>56479.499999999993</v>
      </c>
      <c r="H7" s="15"/>
    </row>
    <row r="8" spans="1:8" ht="54" customHeight="1" x14ac:dyDescent="0.25">
      <c r="A8" s="10">
        <v>3</v>
      </c>
      <c r="B8" s="10" t="str">
        <f>'Part F- Estimate'!B19</f>
        <v>13.61</v>
      </c>
      <c r="C8" s="6" t="str">
        <f>'Part F- Estimate'!C19</f>
        <v>Painting with synthetic enamel paint of approved brand and manufacture to  give an even shade :</v>
      </c>
      <c r="D8" s="15" t="s">
        <v>20</v>
      </c>
      <c r="E8" s="47">
        <v>144.65</v>
      </c>
      <c r="F8" s="15">
        <f>'Part F- Estimate'!J27</f>
        <v>31.6</v>
      </c>
      <c r="G8" s="47">
        <f t="shared" si="0"/>
        <v>4570.9400000000005</v>
      </c>
      <c r="H8" s="15"/>
    </row>
    <row r="9" spans="1:8" x14ac:dyDescent="0.25">
      <c r="A9" s="108" t="s">
        <v>43</v>
      </c>
      <c r="B9" s="109"/>
      <c r="C9" s="109"/>
      <c r="D9" s="109"/>
      <c r="E9" s="109"/>
      <c r="F9" s="110"/>
      <c r="G9" s="56">
        <f>SUM(G6:G8)</f>
        <v>150130.44</v>
      </c>
      <c r="H9" s="19"/>
    </row>
    <row r="10" spans="1:8" ht="18.75" x14ac:dyDescent="0.25">
      <c r="A10" s="111"/>
      <c r="B10" s="112"/>
      <c r="C10" s="112"/>
      <c r="D10" s="112"/>
      <c r="E10" s="112"/>
      <c r="F10" s="113"/>
      <c r="G10" s="49"/>
      <c r="H10" s="19"/>
    </row>
  </sheetData>
  <mergeCells count="5">
    <mergeCell ref="G1:H1"/>
    <mergeCell ref="A2:H3"/>
    <mergeCell ref="A5:H5"/>
    <mergeCell ref="A9:F9"/>
    <mergeCell ref="A10:F10"/>
  </mergeCells>
  <pageMargins left="0.7" right="0.7" top="0.75" bottom="0.75" header="0.3" footer="0.3"/>
  <pageSetup paperSize="9"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2"/>
  <sheetViews>
    <sheetView topLeftCell="A28" workbookViewId="0">
      <selection activeCell="K37" sqref="K37"/>
    </sheetView>
  </sheetViews>
  <sheetFormatPr defaultRowHeight="15" x14ac:dyDescent="0.25"/>
  <cols>
    <col min="2" max="2" width="11.42578125" customWidth="1"/>
    <col min="3" max="3" width="48.140625" customWidth="1"/>
    <col min="10" max="10" width="10.42578125" customWidth="1"/>
    <col min="11" max="11" width="14" customWidth="1"/>
  </cols>
  <sheetData>
    <row r="1" spans="1:11" ht="15" customHeight="1" x14ac:dyDescent="0.25">
      <c r="A1" s="114" t="s">
        <v>73</v>
      </c>
      <c r="B1" s="114"/>
      <c r="C1" s="114"/>
      <c r="D1" s="114"/>
      <c r="E1" s="114"/>
      <c r="F1" s="114"/>
      <c r="G1" s="114"/>
      <c r="H1" s="114"/>
      <c r="I1" s="114"/>
      <c r="J1" s="114"/>
      <c r="K1" s="114"/>
    </row>
    <row r="2" spans="1:11" x14ac:dyDescent="0.25">
      <c r="A2" s="114"/>
      <c r="B2" s="114"/>
      <c r="C2" s="114"/>
      <c r="D2" s="114"/>
      <c r="E2" s="114"/>
      <c r="F2" s="114"/>
      <c r="G2" s="114"/>
      <c r="H2" s="114"/>
      <c r="I2" s="114"/>
      <c r="J2" s="114"/>
      <c r="K2" s="114"/>
    </row>
    <row r="3" spans="1:11" ht="30" x14ac:dyDescent="0.25">
      <c r="A3" s="1" t="s">
        <v>0</v>
      </c>
      <c r="B3" s="2" t="s">
        <v>1</v>
      </c>
      <c r="C3" s="1" t="s">
        <v>2</v>
      </c>
      <c r="D3" s="115" t="s">
        <v>3</v>
      </c>
      <c r="E3" s="116"/>
      <c r="F3" s="117"/>
      <c r="G3" s="3" t="s">
        <v>4</v>
      </c>
      <c r="H3" s="3" t="s">
        <v>5</v>
      </c>
      <c r="I3" s="3" t="s">
        <v>6</v>
      </c>
      <c r="J3" s="4" t="s">
        <v>7</v>
      </c>
      <c r="K3" s="3" t="s">
        <v>8</v>
      </c>
    </row>
    <row r="4" spans="1:11" ht="75" x14ac:dyDescent="0.25">
      <c r="A4" s="5" t="e">
        <f>#REF!</f>
        <v>#REF!</v>
      </c>
      <c r="B4" s="6">
        <v>10.25</v>
      </c>
      <c r="C4" s="6" t="s">
        <v>45</v>
      </c>
      <c r="D4" s="7"/>
      <c r="E4" s="8"/>
      <c r="F4" s="9"/>
      <c r="G4" s="3"/>
      <c r="H4" s="3"/>
      <c r="I4" s="3"/>
      <c r="J4" s="4"/>
      <c r="K4" s="3"/>
    </row>
    <row r="5" spans="1:11" ht="30" x14ac:dyDescent="0.25">
      <c r="A5" s="1"/>
      <c r="B5" s="6" t="s">
        <v>46</v>
      </c>
      <c r="C5" s="6" t="s">
        <v>47</v>
      </c>
      <c r="D5" s="11"/>
      <c r="E5" s="50"/>
      <c r="F5" s="11"/>
      <c r="G5" s="11"/>
      <c r="H5" s="12"/>
      <c r="I5" s="50"/>
      <c r="J5" s="11"/>
      <c r="K5" s="3"/>
    </row>
    <row r="6" spans="1:11" ht="18.75" x14ac:dyDescent="0.25">
      <c r="A6" s="12"/>
      <c r="B6" s="12"/>
      <c r="C6" s="51" t="s">
        <v>74</v>
      </c>
      <c r="D6" s="12"/>
      <c r="E6" s="12"/>
      <c r="F6" s="11"/>
      <c r="G6" s="15"/>
      <c r="H6" s="11"/>
      <c r="I6" s="12"/>
      <c r="J6" s="11"/>
      <c r="K6" s="15"/>
    </row>
    <row r="7" spans="1:11" ht="30" x14ac:dyDescent="0.25">
      <c r="A7" s="12"/>
      <c r="B7" s="12"/>
      <c r="C7" s="6" t="s">
        <v>75</v>
      </c>
      <c r="D7" s="12">
        <v>1</v>
      </c>
      <c r="E7" s="12">
        <v>1</v>
      </c>
      <c r="F7" s="11">
        <v>10</v>
      </c>
      <c r="G7" s="15">
        <v>3</v>
      </c>
      <c r="H7" s="11"/>
      <c r="I7" s="10">
        <v>4.3899999999999997</v>
      </c>
      <c r="J7" s="11">
        <f>PRODUCT(D7:I7)</f>
        <v>131.69999999999999</v>
      </c>
      <c r="K7" s="15"/>
    </row>
    <row r="8" spans="1:11" x14ac:dyDescent="0.25">
      <c r="A8" s="12"/>
      <c r="B8" s="12"/>
      <c r="C8" s="6" t="s">
        <v>76</v>
      </c>
      <c r="D8" s="12">
        <v>1</v>
      </c>
      <c r="E8" s="11">
        <v>7850</v>
      </c>
      <c r="F8" s="11">
        <f>10*2</f>
        <v>20</v>
      </c>
      <c r="G8" s="15">
        <v>0.1</v>
      </c>
      <c r="H8" s="11">
        <v>0.1</v>
      </c>
      <c r="I8" s="12">
        <v>0.01</v>
      </c>
      <c r="J8" s="11">
        <f>PRODUCT(D8:I8)</f>
        <v>15.700000000000001</v>
      </c>
      <c r="K8" s="15"/>
    </row>
    <row r="9" spans="1:11" ht="45" x14ac:dyDescent="0.25">
      <c r="A9" s="12"/>
      <c r="B9" s="12"/>
      <c r="C9" s="6" t="s">
        <v>77</v>
      </c>
      <c r="D9" s="12">
        <v>1</v>
      </c>
      <c r="E9" s="12">
        <v>1</v>
      </c>
      <c r="F9" s="11">
        <v>3</v>
      </c>
      <c r="G9" s="12">
        <v>27</v>
      </c>
      <c r="H9" s="11"/>
      <c r="I9" s="12">
        <v>4.3899999999999997</v>
      </c>
      <c r="J9" s="11">
        <f>PRODUCT(D9:I9)</f>
        <v>355.59</v>
      </c>
      <c r="K9" s="15"/>
    </row>
    <row r="10" spans="1:11" ht="45" x14ac:dyDescent="0.25">
      <c r="A10" s="12"/>
      <c r="B10" s="12"/>
      <c r="C10" s="6" t="s">
        <v>78</v>
      </c>
      <c r="D10" s="12">
        <v>1</v>
      </c>
      <c r="E10" s="12">
        <v>1</v>
      </c>
      <c r="F10" s="11">
        <f>10*2</f>
        <v>20</v>
      </c>
      <c r="G10" s="12">
        <v>3</v>
      </c>
      <c r="H10" s="11"/>
      <c r="I10" s="12">
        <v>2.04</v>
      </c>
      <c r="J10" s="11">
        <f>PRODUCT(D10:I10)</f>
        <v>122.4</v>
      </c>
      <c r="K10" s="15"/>
    </row>
    <row r="11" spans="1:11" ht="30" x14ac:dyDescent="0.25">
      <c r="A11" s="12"/>
      <c r="B11" s="12"/>
      <c r="C11" s="6" t="s">
        <v>86</v>
      </c>
      <c r="D11" s="12">
        <v>1</v>
      </c>
      <c r="E11" s="12">
        <v>1</v>
      </c>
      <c r="F11" s="11">
        <v>10</v>
      </c>
      <c r="G11" s="12">
        <v>1.2</v>
      </c>
      <c r="H11" s="11"/>
      <c r="I11" s="12">
        <v>3.77</v>
      </c>
      <c r="J11" s="11">
        <f>PRODUCT(D11:I11)</f>
        <v>45.24</v>
      </c>
      <c r="K11" s="15"/>
    </row>
    <row r="12" spans="1:11" x14ac:dyDescent="0.25">
      <c r="A12" s="12"/>
      <c r="B12" s="12"/>
      <c r="C12" s="6"/>
      <c r="D12" s="12"/>
      <c r="E12" s="11"/>
      <c r="F12" s="12"/>
      <c r="G12" s="11"/>
      <c r="H12" s="11"/>
      <c r="I12" s="13" t="s">
        <v>11</v>
      </c>
      <c r="J12" s="14">
        <f>SUM(J7:J11)</f>
        <v>670.63</v>
      </c>
      <c r="K12" s="15"/>
    </row>
    <row r="13" spans="1:11" x14ac:dyDescent="0.25">
      <c r="A13" s="12"/>
      <c r="B13" s="12"/>
      <c r="C13" s="6"/>
      <c r="D13" s="12"/>
      <c r="E13" s="11"/>
      <c r="F13" s="12"/>
      <c r="G13" s="11"/>
      <c r="H13" s="11"/>
      <c r="I13" s="13" t="s">
        <v>12</v>
      </c>
      <c r="J13" s="52">
        <f>ROUNDUP(J12,0)</f>
        <v>671</v>
      </c>
      <c r="K13" s="45" t="s">
        <v>23</v>
      </c>
    </row>
    <row r="14" spans="1:11" x14ac:dyDescent="0.25">
      <c r="A14" s="12"/>
      <c r="B14" s="12"/>
      <c r="C14" s="6"/>
      <c r="D14" s="12"/>
      <c r="E14" s="11"/>
      <c r="F14" s="12"/>
      <c r="G14" s="11"/>
      <c r="H14" s="11"/>
      <c r="I14" s="13"/>
      <c r="J14" s="14"/>
      <c r="K14" s="15"/>
    </row>
    <row r="15" spans="1:11" ht="255" x14ac:dyDescent="0.25">
      <c r="A15" s="12" t="e">
        <f>#REF!</f>
        <v>#REF!</v>
      </c>
      <c r="B15" s="30">
        <v>12.5</v>
      </c>
      <c r="C15" s="6" t="s">
        <v>51</v>
      </c>
      <c r="D15" s="12"/>
      <c r="E15" s="11"/>
      <c r="F15" s="15"/>
      <c r="G15" s="11"/>
      <c r="H15" s="11"/>
      <c r="I15" s="12"/>
      <c r="J15" s="11"/>
      <c r="K15" s="15"/>
    </row>
    <row r="16" spans="1:11" ht="18.75" x14ac:dyDescent="0.25">
      <c r="A16" s="12"/>
      <c r="B16" s="12"/>
      <c r="C16" s="51" t="s">
        <v>79</v>
      </c>
      <c r="D16" s="11">
        <v>1</v>
      </c>
      <c r="E16" s="11">
        <v>1</v>
      </c>
      <c r="F16" s="11">
        <v>1</v>
      </c>
      <c r="G16" s="11">
        <v>27</v>
      </c>
      <c r="H16" s="11"/>
      <c r="I16" s="12">
        <v>3</v>
      </c>
      <c r="J16" s="11">
        <f>PRODUCT(D16:I16)</f>
        <v>81</v>
      </c>
      <c r="K16" s="15"/>
    </row>
    <row r="17" spans="1:12" x14ac:dyDescent="0.25">
      <c r="A17" s="12"/>
      <c r="B17" s="12"/>
      <c r="C17" s="6"/>
      <c r="D17" s="12"/>
      <c r="E17" s="11"/>
      <c r="F17" s="15"/>
      <c r="G17" s="11"/>
      <c r="H17" s="11"/>
      <c r="I17" s="13" t="s">
        <v>72</v>
      </c>
      <c r="J17" s="14">
        <f>SUM(J16)</f>
        <v>81</v>
      </c>
      <c r="K17" s="15"/>
    </row>
    <row r="18" spans="1:12" x14ac:dyDescent="0.25">
      <c r="A18" s="12"/>
      <c r="B18" s="12"/>
      <c r="C18" s="6"/>
      <c r="D18" s="12"/>
      <c r="E18" s="11"/>
      <c r="F18" s="15"/>
      <c r="G18" s="11"/>
      <c r="H18" s="11"/>
      <c r="I18" s="13" t="s">
        <v>12</v>
      </c>
      <c r="J18" s="14">
        <f>ROUNDUP(J17,0)</f>
        <v>81</v>
      </c>
      <c r="K18" s="15" t="s">
        <v>20</v>
      </c>
    </row>
    <row r="19" spans="1:12" ht="30" x14ac:dyDescent="0.25">
      <c r="A19" s="33" t="e">
        <f>#REF!</f>
        <v>#REF!</v>
      </c>
      <c r="B19" s="36" t="s">
        <v>30</v>
      </c>
      <c r="C19" s="6" t="s">
        <v>31</v>
      </c>
      <c r="D19" s="29"/>
      <c r="E19" s="29"/>
      <c r="F19" s="29"/>
      <c r="G19" s="22"/>
      <c r="H19" s="22"/>
      <c r="I19" s="19"/>
      <c r="J19" s="11"/>
      <c r="K19" s="15"/>
      <c r="L19" s="42"/>
    </row>
    <row r="20" spans="1:12" ht="15.75" x14ac:dyDescent="0.25">
      <c r="A20" s="38"/>
      <c r="B20" s="36" t="s">
        <v>32</v>
      </c>
      <c r="C20" s="36" t="s">
        <v>33</v>
      </c>
      <c r="D20" s="29"/>
      <c r="E20" s="29"/>
      <c r="F20" s="29"/>
      <c r="G20" s="22"/>
      <c r="H20" s="22"/>
      <c r="I20" s="22"/>
      <c r="J20" s="11"/>
      <c r="K20" s="15"/>
      <c r="L20" s="42"/>
    </row>
    <row r="21" spans="1:12" ht="18.75" x14ac:dyDescent="0.25">
      <c r="A21" s="33"/>
      <c r="B21" s="30"/>
      <c r="C21" s="51" t="s">
        <v>74</v>
      </c>
      <c r="D21" s="12"/>
      <c r="E21" s="12"/>
      <c r="F21" s="11"/>
      <c r="G21" s="15"/>
      <c r="H21" s="11"/>
      <c r="I21" s="12"/>
      <c r="J21" s="11"/>
      <c r="K21" s="15"/>
      <c r="L21" s="42"/>
    </row>
    <row r="22" spans="1:12" ht="30" x14ac:dyDescent="0.25">
      <c r="A22" s="27"/>
      <c r="B22" s="28"/>
      <c r="C22" s="6" t="s">
        <v>75</v>
      </c>
      <c r="D22" s="12">
        <v>1</v>
      </c>
      <c r="E22" s="12">
        <v>1</v>
      </c>
      <c r="F22" s="11">
        <v>11</v>
      </c>
      <c r="G22" s="15">
        <v>3</v>
      </c>
      <c r="H22" s="11"/>
      <c r="I22" s="10">
        <f>0.05*4</f>
        <v>0.2</v>
      </c>
      <c r="J22" s="11">
        <f>PRODUCT(D22:I22)</f>
        <v>6.6000000000000005</v>
      </c>
      <c r="K22" s="19"/>
      <c r="L22" s="42"/>
    </row>
    <row r="23" spans="1:12" x14ac:dyDescent="0.25">
      <c r="A23" s="27"/>
      <c r="B23" s="28"/>
      <c r="C23" s="6" t="s">
        <v>76</v>
      </c>
      <c r="D23" s="12">
        <v>1</v>
      </c>
      <c r="E23" s="11">
        <v>1</v>
      </c>
      <c r="F23" s="11">
        <f>10*2*2</f>
        <v>40</v>
      </c>
      <c r="G23" s="15">
        <v>0.1</v>
      </c>
      <c r="H23" s="11">
        <v>0.1</v>
      </c>
      <c r="I23" s="12"/>
      <c r="J23" s="11">
        <f>PRODUCT(D23:I23)</f>
        <v>0.4</v>
      </c>
      <c r="K23" s="19"/>
      <c r="L23" s="42"/>
    </row>
    <row r="24" spans="1:12" ht="45" x14ac:dyDescent="0.25">
      <c r="A24" s="27"/>
      <c r="B24" s="28"/>
      <c r="C24" s="6" t="s">
        <v>77</v>
      </c>
      <c r="D24" s="12">
        <v>1</v>
      </c>
      <c r="E24" s="12">
        <v>1</v>
      </c>
      <c r="F24" s="11">
        <v>3</v>
      </c>
      <c r="G24" s="12">
        <v>27</v>
      </c>
      <c r="H24" s="11"/>
      <c r="I24" s="12">
        <f>0.05*4</f>
        <v>0.2</v>
      </c>
      <c r="J24" s="11">
        <f>PRODUCT(D24:I24)</f>
        <v>16.2</v>
      </c>
      <c r="K24" s="15"/>
      <c r="L24" s="42"/>
    </row>
    <row r="25" spans="1:12" ht="45" x14ac:dyDescent="0.25">
      <c r="A25" s="27"/>
      <c r="B25" s="28"/>
      <c r="C25" s="6" t="s">
        <v>78</v>
      </c>
      <c r="D25" s="12">
        <v>1</v>
      </c>
      <c r="E25" s="12">
        <v>1</v>
      </c>
      <c r="F25" s="11">
        <f>10*2</f>
        <v>20</v>
      </c>
      <c r="G25" s="12">
        <v>3</v>
      </c>
      <c r="H25" s="11"/>
      <c r="I25" s="12">
        <f>0.025*4</f>
        <v>0.1</v>
      </c>
      <c r="J25" s="11">
        <f>PRODUCT(D25:I25)</f>
        <v>6</v>
      </c>
      <c r="K25" s="15"/>
      <c r="L25" s="42"/>
    </row>
    <row r="26" spans="1:12" ht="30" x14ac:dyDescent="0.25">
      <c r="A26" s="27"/>
      <c r="B26" s="28"/>
      <c r="C26" s="6" t="s">
        <v>86</v>
      </c>
      <c r="D26" s="12">
        <v>1</v>
      </c>
      <c r="E26" s="12">
        <v>1</v>
      </c>
      <c r="F26" s="11">
        <v>10</v>
      </c>
      <c r="G26" s="12">
        <v>1.2</v>
      </c>
      <c r="H26" s="11"/>
      <c r="I26" s="12">
        <f>0.05*4</f>
        <v>0.2</v>
      </c>
      <c r="J26" s="11">
        <f>PRODUCT(D26:I26)</f>
        <v>2.4000000000000004</v>
      </c>
      <c r="K26" s="15"/>
      <c r="L26" s="42"/>
    </row>
    <row r="27" spans="1:12" x14ac:dyDescent="0.25">
      <c r="A27" s="27"/>
      <c r="B27" s="28"/>
      <c r="C27" s="6"/>
      <c r="D27" s="12"/>
      <c r="E27" s="11"/>
      <c r="F27" s="12"/>
      <c r="G27" s="11"/>
      <c r="H27" s="11"/>
      <c r="I27" s="13" t="s">
        <v>11</v>
      </c>
      <c r="J27" s="14">
        <f>SUM(J22:J26)</f>
        <v>31.6</v>
      </c>
      <c r="K27" s="45"/>
      <c r="L27" s="42"/>
    </row>
    <row r="28" spans="1:12" ht="15.75" x14ac:dyDescent="0.25">
      <c r="A28" s="27"/>
      <c r="B28" s="28"/>
      <c r="C28" s="36"/>
      <c r="D28" s="29"/>
      <c r="E28" s="29"/>
      <c r="F28" s="29"/>
      <c r="G28" s="22"/>
      <c r="H28" s="22"/>
      <c r="I28" s="13" t="s">
        <v>12</v>
      </c>
      <c r="J28" s="14">
        <f>ROUNDUP(J27,0)</f>
        <v>32</v>
      </c>
      <c r="K28" s="32" t="s">
        <v>20</v>
      </c>
      <c r="L28" s="42"/>
    </row>
    <row r="29" spans="1:12" ht="210" x14ac:dyDescent="0.25">
      <c r="A29" s="15" t="e">
        <f>#REF!</f>
        <v>#REF!</v>
      </c>
      <c r="B29" s="15">
        <v>16.53</v>
      </c>
      <c r="C29" s="57" t="s">
        <v>87</v>
      </c>
      <c r="D29" s="19"/>
      <c r="E29" s="19"/>
      <c r="F29" s="19"/>
      <c r="G29" s="19"/>
      <c r="H29" s="19"/>
      <c r="I29" s="19"/>
      <c r="J29" s="19"/>
      <c r="K29" s="19"/>
    </row>
    <row r="30" spans="1:12" x14ac:dyDescent="0.25">
      <c r="A30" s="19"/>
      <c r="B30" s="19"/>
      <c r="C30" s="19" t="s">
        <v>88</v>
      </c>
      <c r="D30" s="19">
        <v>1</v>
      </c>
      <c r="E30" s="19">
        <v>1</v>
      </c>
      <c r="F30" s="19">
        <v>1</v>
      </c>
      <c r="G30" s="19">
        <v>27</v>
      </c>
      <c r="H30" s="19"/>
      <c r="I30" s="19"/>
      <c r="J30" s="11">
        <f>PRODUCT(D30:I30)</f>
        <v>27</v>
      </c>
      <c r="K30" s="19"/>
    </row>
    <row r="31" spans="1:12" x14ac:dyDescent="0.25">
      <c r="A31" s="19"/>
      <c r="B31" s="19"/>
      <c r="C31" s="19"/>
      <c r="D31" s="19"/>
      <c r="E31" s="19"/>
      <c r="F31" s="19"/>
      <c r="G31" s="19"/>
      <c r="H31" s="19"/>
      <c r="I31" s="13" t="s">
        <v>11</v>
      </c>
      <c r="J31" s="14">
        <f>SUM(J30)</f>
        <v>27</v>
      </c>
      <c r="K31" s="19"/>
    </row>
    <row r="32" spans="1:12" x14ac:dyDescent="0.25">
      <c r="A32" s="19"/>
      <c r="B32" s="19"/>
      <c r="C32" s="19"/>
      <c r="D32" s="19"/>
      <c r="E32" s="19"/>
      <c r="F32" s="19"/>
      <c r="G32" s="19"/>
      <c r="H32" s="19"/>
      <c r="I32" s="13" t="s">
        <v>12</v>
      </c>
      <c r="J32" s="14">
        <f>ROUNDDOWN(J31,0)</f>
        <v>27</v>
      </c>
      <c r="K32" s="19" t="s">
        <v>89</v>
      </c>
    </row>
    <row r="33" spans="1:11" x14ac:dyDescent="0.25">
      <c r="A33" s="19"/>
      <c r="B33" s="19"/>
      <c r="C33" s="19"/>
      <c r="D33" s="19"/>
      <c r="E33" s="19"/>
      <c r="F33" s="19"/>
      <c r="G33" s="19"/>
      <c r="H33" s="19"/>
      <c r="I33" s="19"/>
      <c r="J33" s="19"/>
      <c r="K33" s="19"/>
    </row>
    <row r="34" spans="1:11" x14ac:dyDescent="0.25">
      <c r="A34" s="19"/>
      <c r="B34" s="19"/>
      <c r="C34" s="19"/>
      <c r="D34" s="19"/>
      <c r="E34" s="19"/>
      <c r="F34" s="19"/>
      <c r="G34" s="19"/>
      <c r="H34" s="19"/>
      <c r="I34" s="19"/>
      <c r="J34" s="19"/>
      <c r="K34" s="19"/>
    </row>
    <row r="35" spans="1:11" x14ac:dyDescent="0.25">
      <c r="A35" s="19"/>
      <c r="B35" s="19"/>
      <c r="C35" s="19"/>
      <c r="D35" s="19"/>
      <c r="E35" s="19"/>
      <c r="F35" s="19"/>
      <c r="G35" s="19"/>
      <c r="H35" s="19"/>
      <c r="I35" s="19"/>
      <c r="J35" s="19"/>
      <c r="K35" s="19"/>
    </row>
    <row r="36" spans="1:11" x14ac:dyDescent="0.25">
      <c r="A36" s="19"/>
      <c r="B36" s="19"/>
      <c r="C36" s="19"/>
      <c r="D36" s="19"/>
      <c r="E36" s="19"/>
      <c r="F36" s="19"/>
      <c r="G36" s="19"/>
      <c r="H36" s="19"/>
      <c r="I36" s="19"/>
      <c r="J36" s="19"/>
      <c r="K36" s="19"/>
    </row>
    <row r="37" spans="1:11" x14ac:dyDescent="0.25">
      <c r="A37" s="19"/>
      <c r="B37" s="19"/>
      <c r="C37" s="19"/>
      <c r="D37" s="19"/>
      <c r="E37" s="19"/>
      <c r="F37" s="19"/>
      <c r="G37" s="19"/>
      <c r="H37" s="19"/>
      <c r="I37" s="19"/>
      <c r="J37" s="19"/>
      <c r="K37" s="19"/>
    </row>
    <row r="38" spans="1:11" x14ac:dyDescent="0.25">
      <c r="A38" s="19"/>
      <c r="B38" s="19"/>
      <c r="C38" s="19"/>
      <c r="D38" s="19"/>
      <c r="E38" s="19"/>
      <c r="F38" s="19"/>
      <c r="G38" s="19"/>
      <c r="H38" s="19"/>
      <c r="I38" s="19"/>
      <c r="J38" s="19"/>
      <c r="K38" s="19"/>
    </row>
    <row r="39" spans="1:11" x14ac:dyDescent="0.25">
      <c r="A39" s="19"/>
      <c r="B39" s="19"/>
      <c r="C39" s="19"/>
      <c r="D39" s="19"/>
      <c r="E39" s="19"/>
      <c r="F39" s="19"/>
      <c r="G39" s="19"/>
      <c r="H39" s="19"/>
      <c r="I39" s="19"/>
      <c r="J39" s="19"/>
      <c r="K39" s="19"/>
    </row>
    <row r="40" spans="1:11" x14ac:dyDescent="0.25">
      <c r="A40" s="19"/>
      <c r="B40" s="19"/>
      <c r="C40" s="19"/>
      <c r="D40" s="19"/>
      <c r="E40" s="19"/>
      <c r="F40" s="19"/>
      <c r="G40" s="19"/>
      <c r="H40" s="19"/>
      <c r="I40" s="19"/>
      <c r="J40" s="19"/>
      <c r="K40" s="19"/>
    </row>
    <row r="41" spans="1:11" x14ac:dyDescent="0.25">
      <c r="A41" s="19"/>
      <c r="B41" s="19"/>
      <c r="C41" s="19"/>
      <c r="D41" s="19"/>
      <c r="E41" s="19"/>
      <c r="F41" s="19"/>
      <c r="G41" s="19"/>
      <c r="H41" s="19"/>
      <c r="I41" s="19"/>
      <c r="J41" s="19"/>
      <c r="K41" s="19"/>
    </row>
    <row r="42" spans="1:11" x14ac:dyDescent="0.25">
      <c r="A42" s="19"/>
      <c r="B42" s="19"/>
      <c r="C42" s="19"/>
      <c r="D42" s="19"/>
      <c r="E42" s="19"/>
      <c r="F42" s="19"/>
      <c r="G42" s="19"/>
      <c r="H42" s="19"/>
      <c r="I42" s="19"/>
      <c r="J42" s="19"/>
      <c r="K42" s="19"/>
    </row>
  </sheetData>
  <mergeCells count="2">
    <mergeCell ref="A1:K2"/>
    <mergeCell ref="D3:F3"/>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51BBF-B911-4A6A-8EEB-0F7FFD3CC319}">
  <dimension ref="A1:F15"/>
  <sheetViews>
    <sheetView view="pageBreakPreview" zoomScaleNormal="100" zoomScaleSheetLayoutView="100" workbookViewId="0">
      <selection activeCell="A4" sqref="A4"/>
    </sheetView>
  </sheetViews>
  <sheetFormatPr defaultRowHeight="15" x14ac:dyDescent="0.25"/>
  <cols>
    <col min="1" max="1" width="14" customWidth="1"/>
    <col min="2" max="2" width="28.85546875" bestFit="1" customWidth="1"/>
    <col min="3" max="3" width="8.140625" customWidth="1"/>
    <col min="4" max="4" width="14.42578125" customWidth="1"/>
    <col min="5" max="5" width="22.7109375" customWidth="1"/>
    <col min="6" max="6" width="28.140625" bestFit="1" customWidth="1"/>
  </cols>
  <sheetData>
    <row r="1" spans="1:6" ht="64.5" customHeight="1" x14ac:dyDescent="0.25">
      <c r="A1" s="121" t="s">
        <v>149</v>
      </c>
      <c r="B1" s="121"/>
      <c r="C1" s="121"/>
      <c r="D1" s="121"/>
      <c r="E1" s="121"/>
      <c r="F1" s="121"/>
    </row>
    <row r="2" spans="1:6" ht="66" x14ac:dyDescent="0.25">
      <c r="A2" s="65" t="s">
        <v>36</v>
      </c>
      <c r="B2" s="65" t="s">
        <v>134</v>
      </c>
      <c r="C2" s="65" t="s">
        <v>38</v>
      </c>
      <c r="D2" s="66" t="s">
        <v>136</v>
      </c>
      <c r="E2" s="65" t="s">
        <v>142</v>
      </c>
      <c r="F2" s="66" t="s">
        <v>137</v>
      </c>
    </row>
    <row r="3" spans="1:6" ht="16.5" x14ac:dyDescent="0.25">
      <c r="A3" s="66"/>
      <c r="B3" s="68" t="s">
        <v>99</v>
      </c>
      <c r="C3" s="68" t="s">
        <v>101</v>
      </c>
      <c r="D3" s="120" t="s">
        <v>152</v>
      </c>
      <c r="E3" s="68" t="s">
        <v>107</v>
      </c>
      <c r="F3" s="120" t="s">
        <v>151</v>
      </c>
    </row>
    <row r="4" spans="1:6" ht="15.75" x14ac:dyDescent="0.25">
      <c r="A4" s="67">
        <v>1</v>
      </c>
      <c r="B4" s="118" t="s">
        <v>150</v>
      </c>
      <c r="C4" s="68" t="s">
        <v>98</v>
      </c>
      <c r="D4" s="119">
        <v>14</v>
      </c>
      <c r="E4" s="69">
        <f>RATE!D16</f>
        <v>38911.599999999991</v>
      </c>
      <c r="F4" s="69">
        <f>D4*E4*24</f>
        <v>13074297.599999998</v>
      </c>
    </row>
    <row r="5" spans="1:6" ht="15.75" x14ac:dyDescent="0.25">
      <c r="A5" s="67">
        <v>2</v>
      </c>
      <c r="B5" s="118" t="s">
        <v>135</v>
      </c>
      <c r="C5" s="68" t="s">
        <v>98</v>
      </c>
      <c r="D5" s="119">
        <v>1</v>
      </c>
      <c r="E5" s="69">
        <f>RATE!E16</f>
        <v>51001.67</v>
      </c>
      <c r="F5" s="69">
        <f>D5*E5*24</f>
        <v>1224040.08</v>
      </c>
    </row>
    <row r="6" spans="1:6" ht="16.5" x14ac:dyDescent="0.25">
      <c r="A6" s="96" t="s">
        <v>139</v>
      </c>
      <c r="B6" s="97"/>
      <c r="C6" s="97"/>
      <c r="D6" s="97"/>
      <c r="E6" s="98"/>
      <c r="F6" s="70">
        <f>SUM(F4:F5)</f>
        <v>14298337.679999998</v>
      </c>
    </row>
    <row r="7" spans="1:6" ht="16.5" x14ac:dyDescent="0.25">
      <c r="A7" s="99" t="s">
        <v>140</v>
      </c>
      <c r="B7" s="97"/>
      <c r="C7" s="97"/>
      <c r="D7" s="97"/>
      <c r="E7" s="98"/>
      <c r="F7" s="91" t="s">
        <v>138</v>
      </c>
    </row>
    <row r="8" spans="1:6" ht="16.5" x14ac:dyDescent="0.25">
      <c r="A8" s="99" t="s">
        <v>141</v>
      </c>
      <c r="B8" s="97"/>
      <c r="C8" s="97"/>
      <c r="D8" s="97"/>
      <c r="E8" s="98"/>
      <c r="F8" s="90"/>
    </row>
    <row r="10" spans="1:6" ht="16.5" x14ac:dyDescent="0.3">
      <c r="A10" s="93" t="s">
        <v>143</v>
      </c>
    </row>
    <row r="12" spans="1:6" x14ac:dyDescent="0.25">
      <c r="A12" s="95" t="s">
        <v>144</v>
      </c>
      <c r="B12" s="95"/>
      <c r="C12" s="95"/>
      <c r="D12" s="95"/>
      <c r="E12" s="95"/>
      <c r="F12" s="95"/>
    </row>
    <row r="13" spans="1:6" x14ac:dyDescent="0.25">
      <c r="A13" s="95"/>
      <c r="B13" s="95"/>
      <c r="C13" s="95"/>
      <c r="D13" s="95"/>
      <c r="E13" s="95"/>
      <c r="F13" s="95"/>
    </row>
    <row r="14" spans="1:6" ht="15.75" x14ac:dyDescent="0.25">
      <c r="A14" s="92"/>
      <c r="B14" s="92"/>
      <c r="C14" s="92"/>
      <c r="D14" s="92"/>
      <c r="E14" s="92"/>
      <c r="F14" s="92"/>
    </row>
    <row r="15" spans="1:6" ht="40.5" customHeight="1" x14ac:dyDescent="0.25">
      <c r="A15" s="95" t="s">
        <v>153</v>
      </c>
      <c r="B15" s="95"/>
      <c r="C15" s="95"/>
      <c r="D15" s="95"/>
      <c r="E15" s="95"/>
      <c r="F15" s="95"/>
    </row>
  </sheetData>
  <sheetProtection algorithmName="SHA-512" hashValue="w5rLY/0ua1+kS7Quo/oYDhSIsXwd059FZ/jrzAUJ/tP9ZQBoczpp63iFAFmDeaJthKZUuZ8jY/rQc+DvdJfQZQ==" saltValue="LFtqVcbQAVEczjccuZGwPg==" spinCount="100000" sheet="1" objects="1" scenarios="1"/>
  <mergeCells count="6">
    <mergeCell ref="A1:F1"/>
    <mergeCell ref="A12:F13"/>
    <mergeCell ref="A15:F15"/>
    <mergeCell ref="A6:E6"/>
    <mergeCell ref="A7:E7"/>
    <mergeCell ref="A8:E8"/>
  </mergeCells>
  <pageMargins left="0.7" right="0.7" top="0.75" bottom="0.75" header="0.3" footer="0.3"/>
  <pageSetup scale="10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DCB74-DBBE-4CE3-9FFD-FA4159FFCD8B}">
  <dimension ref="A1:E16"/>
  <sheetViews>
    <sheetView tabSelected="1" view="pageBreakPreview" topLeftCell="B1" zoomScale="98" zoomScaleNormal="100" zoomScaleSheetLayoutView="98" workbookViewId="0">
      <selection activeCell="C3" sqref="C3"/>
    </sheetView>
  </sheetViews>
  <sheetFormatPr defaultRowHeight="15" x14ac:dyDescent="0.25"/>
  <cols>
    <col min="1" max="1" width="14" customWidth="1"/>
    <col min="2" max="2" width="50" customWidth="1"/>
    <col min="3" max="3" width="35.85546875" customWidth="1"/>
    <col min="4" max="4" width="26.42578125" customWidth="1"/>
    <col min="5" max="5" width="30.85546875" customWidth="1"/>
  </cols>
  <sheetData>
    <row r="1" spans="1:5" ht="18.75" x14ac:dyDescent="0.3">
      <c r="A1" s="71"/>
      <c r="B1" s="71"/>
      <c r="C1" s="71"/>
      <c r="D1" s="71"/>
      <c r="E1" s="72" t="s">
        <v>130</v>
      </c>
    </row>
    <row r="2" spans="1:5" ht="20.25" customHeight="1" x14ac:dyDescent="0.25">
      <c r="A2" s="100" t="s">
        <v>145</v>
      </c>
      <c r="B2" s="100"/>
      <c r="C2" s="100"/>
      <c r="D2" s="100"/>
      <c r="E2" s="100"/>
    </row>
    <row r="3" spans="1:5" ht="112.5" x14ac:dyDescent="0.25">
      <c r="A3" s="73" t="s">
        <v>36</v>
      </c>
      <c r="B3" s="73" t="s">
        <v>37</v>
      </c>
      <c r="C3" s="74" t="s">
        <v>133</v>
      </c>
      <c r="D3" s="75" t="s">
        <v>148</v>
      </c>
      <c r="E3" s="75" t="s">
        <v>147</v>
      </c>
    </row>
    <row r="4" spans="1:5" ht="37.5" x14ac:dyDescent="0.25">
      <c r="A4" s="76" t="s">
        <v>99</v>
      </c>
      <c r="B4" s="77" t="s">
        <v>100</v>
      </c>
      <c r="C4" s="78"/>
      <c r="D4" s="79">
        <v>23790</v>
      </c>
      <c r="E4" s="79">
        <v>31640.7</v>
      </c>
    </row>
    <row r="5" spans="1:5" ht="75" x14ac:dyDescent="0.25">
      <c r="A5" s="76" t="s">
        <v>101</v>
      </c>
      <c r="B5" s="80" t="s">
        <v>102</v>
      </c>
      <c r="C5" s="81" t="s">
        <v>103</v>
      </c>
      <c r="D5" s="79">
        <v>0</v>
      </c>
      <c r="E5" s="79">
        <v>0</v>
      </c>
    </row>
    <row r="6" spans="1:5" ht="37.5" x14ac:dyDescent="0.25">
      <c r="A6" s="76" t="s">
        <v>104</v>
      </c>
      <c r="B6" s="80" t="s">
        <v>105</v>
      </c>
      <c r="C6" s="81" t="s">
        <v>131</v>
      </c>
      <c r="D6" s="79">
        <v>1800</v>
      </c>
      <c r="E6" s="79">
        <v>1800</v>
      </c>
    </row>
    <row r="7" spans="1:5" ht="37.5" x14ac:dyDescent="0.25">
      <c r="A7" s="82" t="s">
        <v>107</v>
      </c>
      <c r="B7" s="80" t="s">
        <v>106</v>
      </c>
      <c r="C7" s="81" t="s">
        <v>132</v>
      </c>
      <c r="D7" s="79">
        <v>75</v>
      </c>
      <c r="E7" s="79">
        <v>75</v>
      </c>
    </row>
    <row r="8" spans="1:5" ht="37.5" x14ac:dyDescent="0.25">
      <c r="A8" s="76" t="s">
        <v>108</v>
      </c>
      <c r="B8" s="83" t="s">
        <v>109</v>
      </c>
      <c r="C8" s="81" t="s">
        <v>132</v>
      </c>
      <c r="D8" s="79">
        <v>75</v>
      </c>
      <c r="E8" s="79">
        <v>75</v>
      </c>
    </row>
    <row r="9" spans="1:5" ht="37.5" x14ac:dyDescent="0.25">
      <c r="A9" s="76" t="s">
        <v>110</v>
      </c>
      <c r="B9" s="84" t="s">
        <v>111</v>
      </c>
      <c r="C9" s="81" t="s">
        <v>112</v>
      </c>
      <c r="D9" s="79">
        <f>D4*0.24</f>
        <v>5709.5999999999995</v>
      </c>
      <c r="E9" s="79">
        <v>7593.768</v>
      </c>
    </row>
    <row r="10" spans="1:5" ht="18.75" x14ac:dyDescent="0.25">
      <c r="A10" s="76" t="s">
        <v>113</v>
      </c>
      <c r="B10" s="84" t="s">
        <v>114</v>
      </c>
      <c r="C10" s="85" t="s">
        <v>115</v>
      </c>
      <c r="D10" s="79">
        <v>0</v>
      </c>
      <c r="E10" s="79">
        <v>0</v>
      </c>
    </row>
    <row r="11" spans="1:5" ht="37.5" x14ac:dyDescent="0.25">
      <c r="A11" s="76" t="s">
        <v>116</v>
      </c>
      <c r="B11" s="86" t="s">
        <v>117</v>
      </c>
      <c r="C11" s="81" t="s">
        <v>118</v>
      </c>
      <c r="D11" s="79">
        <v>0</v>
      </c>
      <c r="E11" s="79">
        <v>0</v>
      </c>
    </row>
    <row r="12" spans="1:5" ht="18.75" x14ac:dyDescent="0.25">
      <c r="A12" s="76" t="s">
        <v>119</v>
      </c>
      <c r="B12" s="80" t="s">
        <v>120</v>
      </c>
      <c r="C12" s="85" t="s">
        <v>121</v>
      </c>
      <c r="D12" s="79">
        <f>D4*0.05</f>
        <v>1189.5</v>
      </c>
      <c r="E12" s="79">
        <f t="shared" ref="E12" si="0">E4*0.05</f>
        <v>1582.0350000000001</v>
      </c>
    </row>
    <row r="13" spans="1:5" ht="18.75" x14ac:dyDescent="0.25">
      <c r="A13" s="87" t="s">
        <v>122</v>
      </c>
      <c r="B13" s="80" t="s">
        <v>123</v>
      </c>
      <c r="C13" s="85" t="s">
        <v>124</v>
      </c>
      <c r="D13" s="79">
        <f>D4*0.03</f>
        <v>713.69999999999993</v>
      </c>
      <c r="E13" s="79">
        <f t="shared" ref="E13" si="1">E4*0.03</f>
        <v>949.221</v>
      </c>
    </row>
    <row r="14" spans="1:5" ht="18.75" x14ac:dyDescent="0.25">
      <c r="A14" s="82" t="s">
        <v>125</v>
      </c>
      <c r="B14" s="86" t="s">
        <v>146</v>
      </c>
      <c r="C14" s="85"/>
      <c r="D14" s="79">
        <f>SUM(D4:D13)</f>
        <v>33352.799999999996</v>
      </c>
      <c r="E14" s="79">
        <f t="shared" ref="E14" si="2">SUM(E4:E13)</f>
        <v>43715.723999999995</v>
      </c>
    </row>
    <row r="15" spans="1:5" ht="18.75" x14ac:dyDescent="0.25">
      <c r="A15" s="76" t="s">
        <v>126</v>
      </c>
      <c r="B15" s="84" t="s">
        <v>127</v>
      </c>
      <c r="C15" s="88"/>
      <c r="D15" s="79">
        <f>D14/6</f>
        <v>5558.7999999999993</v>
      </c>
      <c r="E15" s="79">
        <f>E14/6</f>
        <v>7285.9539999999988</v>
      </c>
    </row>
    <row r="16" spans="1:5" ht="18.75" x14ac:dyDescent="0.25">
      <c r="A16" s="76" t="s">
        <v>128</v>
      </c>
      <c r="B16" s="86" t="s">
        <v>129</v>
      </c>
      <c r="C16" s="88"/>
      <c r="D16" s="89">
        <v>38911.599999999991</v>
      </c>
      <c r="E16" s="89">
        <v>51001.67</v>
      </c>
    </row>
  </sheetData>
  <sheetProtection algorithmName="SHA-512" hashValue="DqoewliqKzxdtOXggSS57SdzaBo5EB8g9LF0TFmueytV6ObQFalIcFwNO7dTQM+owZtvRCVzr4mMkWCWwhMeMw==" saltValue="QtQEexBIbZFt1scmDMYQYw==" spinCount="100000" sheet="1" objects="1" scenarios="1"/>
  <mergeCells count="1">
    <mergeCell ref="A2:E2"/>
  </mergeCells>
  <pageMargins left="0.25" right="0.25" top="0.75" bottom="0.7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0"/>
  <sheetViews>
    <sheetView view="pageBreakPreview" topLeftCell="A23" zoomScale="60" workbookViewId="0">
      <selection activeCell="C58" sqref="C58"/>
    </sheetView>
  </sheetViews>
  <sheetFormatPr defaultRowHeight="15" x14ac:dyDescent="0.25"/>
  <cols>
    <col min="2" max="2" width="13.28515625" customWidth="1"/>
    <col min="3" max="3" width="44.42578125" customWidth="1"/>
    <col min="5" max="5" width="10.140625" customWidth="1"/>
    <col min="6" max="6" width="13.85546875" customWidth="1"/>
    <col min="7" max="7" width="19.5703125" bestFit="1" customWidth="1"/>
    <col min="8" max="8" width="22.5703125" customWidth="1"/>
  </cols>
  <sheetData>
    <row r="1" spans="1:8" x14ac:dyDescent="0.25">
      <c r="G1" s="101" t="s">
        <v>34</v>
      </c>
      <c r="H1" s="101"/>
    </row>
    <row r="2" spans="1:8" ht="15" customHeight="1" x14ac:dyDescent="0.25">
      <c r="A2" s="102" t="s">
        <v>35</v>
      </c>
      <c r="B2" s="103"/>
      <c r="C2" s="103"/>
      <c r="D2" s="103"/>
      <c r="E2" s="103"/>
      <c r="F2" s="103"/>
      <c r="G2" s="103"/>
      <c r="H2" s="103"/>
    </row>
    <row r="3" spans="1:8" x14ac:dyDescent="0.25">
      <c r="A3" s="104"/>
      <c r="B3" s="105"/>
      <c r="C3" s="105"/>
      <c r="D3" s="105"/>
      <c r="E3" s="105"/>
      <c r="F3" s="105"/>
      <c r="G3" s="105"/>
      <c r="H3" s="105"/>
    </row>
    <row r="4" spans="1:8" ht="30" x14ac:dyDescent="0.25">
      <c r="A4" s="45" t="s">
        <v>36</v>
      </c>
      <c r="B4" s="46" t="s">
        <v>1</v>
      </c>
      <c r="C4" s="45" t="s">
        <v>37</v>
      </c>
      <c r="D4" s="45" t="s">
        <v>38</v>
      </c>
      <c r="E4" s="45" t="s">
        <v>39</v>
      </c>
      <c r="F4" s="45" t="s">
        <v>7</v>
      </c>
      <c r="G4" s="45" t="s">
        <v>40</v>
      </c>
      <c r="H4" s="45" t="s">
        <v>8</v>
      </c>
    </row>
    <row r="5" spans="1:8" x14ac:dyDescent="0.25">
      <c r="A5" s="106" t="s">
        <v>41</v>
      </c>
      <c r="B5" s="107"/>
      <c r="C5" s="107"/>
      <c r="D5" s="107"/>
      <c r="E5" s="107"/>
      <c r="F5" s="107"/>
      <c r="G5" s="107"/>
      <c r="H5" s="107"/>
    </row>
    <row r="6" spans="1:8" ht="90" x14ac:dyDescent="0.25">
      <c r="A6" s="10">
        <v>1</v>
      </c>
      <c r="B6" s="10" t="str">
        <f>[1]Estimate!B4</f>
        <v>15.2.2</v>
      </c>
      <c r="C6" s="6" t="str">
        <f>[1]Estimate!C4</f>
        <v>Demolishing cement concrete manually/ by mechanical means including disposal of material within 50 metres lead as per directionof Engineer - in - charge Nominal concrete 1:4:8 or leaner mix (i/c equivalent design mix)</v>
      </c>
      <c r="D6" s="47" t="str">
        <f>[1]Estimate!K5</f>
        <v>Cum</v>
      </c>
      <c r="E6" s="15">
        <v>1072.8</v>
      </c>
      <c r="F6" s="15">
        <f>[1]Estimate!J8</f>
        <v>32</v>
      </c>
      <c r="G6" s="15">
        <f t="shared" ref="G6:G12" si="0">E6*F6</f>
        <v>34329.599999999999</v>
      </c>
      <c r="H6" s="15"/>
    </row>
    <row r="7" spans="1:8" ht="105" x14ac:dyDescent="0.25">
      <c r="A7" s="10">
        <v>2</v>
      </c>
      <c r="B7" s="10" t="str">
        <f>[1]Estimate!B9</f>
        <v>2.6.1</v>
      </c>
      <c r="C7" s="6" t="str">
        <f>[1]Estimate!C9</f>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
      <c r="D7" s="15" t="str">
        <f>[1]Estimate!K12</f>
        <v>CUM</v>
      </c>
      <c r="E7" s="15">
        <v>181.85</v>
      </c>
      <c r="F7" s="15">
        <f>[1]Estimate!J12</f>
        <v>439</v>
      </c>
      <c r="G7" s="15">
        <f t="shared" si="0"/>
        <v>79832.149999999994</v>
      </c>
      <c r="H7" s="15"/>
    </row>
    <row r="8" spans="1:8" ht="90" x14ac:dyDescent="0.25">
      <c r="A8" s="10">
        <v>3</v>
      </c>
      <c r="B8" s="10">
        <f>[1]Estimate!B13</f>
        <v>2.25</v>
      </c>
      <c r="C8" s="6" t="str">
        <f>[1]Estimate!C13</f>
        <v>Filling available excavated earth (excluding rock) in trenches, plinth, sides of foundations etc. in layers not exceeding 20cm in depth, consolidating each deposited layer by ramming and watering, lead up to 50 m and lift upto 1.5 m.</v>
      </c>
      <c r="D8" s="15" t="s">
        <v>10</v>
      </c>
      <c r="E8" s="15">
        <v>219.65</v>
      </c>
      <c r="F8" s="15">
        <f>[1]Estimate!J15</f>
        <v>308</v>
      </c>
      <c r="G8" s="15">
        <f t="shared" si="0"/>
        <v>67652.2</v>
      </c>
      <c r="H8" s="15"/>
    </row>
    <row r="9" spans="1:8" ht="90" x14ac:dyDescent="0.25">
      <c r="A9" s="10">
        <v>4</v>
      </c>
      <c r="B9" s="10" t="str">
        <f>[1]Estimate!B16</f>
        <v>4.1.8</v>
      </c>
      <c r="C9" s="6" t="str">
        <f>[1]Estimate!C16</f>
        <v>Providing and laying in position cement concrete of specified grade excluding the cost of centering and shuttering - All work up to plinth level : 1:4:8 (1 Cement : 4 coarse sand (zone-III) : 8 graded stone aggregate 40 mm nominal size)</v>
      </c>
      <c r="D9" s="15" t="s">
        <v>10</v>
      </c>
      <c r="E9" s="15">
        <v>5789.6</v>
      </c>
      <c r="F9" s="15">
        <f>[1]Estimate!J20</f>
        <v>13</v>
      </c>
      <c r="G9" s="15">
        <f t="shared" si="0"/>
        <v>75264.800000000003</v>
      </c>
      <c r="H9" s="15"/>
    </row>
    <row r="10" spans="1:8" ht="90" x14ac:dyDescent="0.25">
      <c r="A10" s="10">
        <v>5</v>
      </c>
      <c r="B10" s="10" t="str">
        <f>[1]Estimate!B21</f>
        <v>5.1.2</v>
      </c>
      <c r="C10" s="6" t="str">
        <f>[1]Estimate!C21</f>
        <v>Providing and laying in position specified grade of reinforced cement concrete, excluding the cost of centering, shuttering, finishing and reinforcement - All work up to plinth level : 1:1.5:3 (1 cement : 1.5 coarse sand (zone-III): 3 graded stone aggregate 20 mm nominal size).</v>
      </c>
      <c r="D10" s="15" t="s">
        <v>10</v>
      </c>
      <c r="E10" s="15">
        <v>7718.25</v>
      </c>
      <c r="F10" s="15">
        <f>[1]Estimate!J29</f>
        <v>156</v>
      </c>
      <c r="G10" s="48">
        <f t="shared" si="0"/>
        <v>1204047</v>
      </c>
      <c r="H10" s="15"/>
    </row>
    <row r="11" spans="1:8" ht="60" x14ac:dyDescent="0.25">
      <c r="A11" s="10">
        <v>6</v>
      </c>
      <c r="B11" s="10" t="str">
        <f>[1]Estimate!B30</f>
        <v>5.9.1</v>
      </c>
      <c r="C11" s="16" t="str">
        <f>[1]Estimate!C30</f>
        <v>Centering and shuttering including strutting, propping etc. and removal of form for all heights : Foundations, footings, bases of columns, etc. for mass concrete</v>
      </c>
      <c r="D11" s="15" t="s">
        <v>29</v>
      </c>
      <c r="E11" s="15">
        <v>284.85000000000002</v>
      </c>
      <c r="F11" s="15">
        <f>[1]Estimate!J39</f>
        <v>253</v>
      </c>
      <c r="G11" s="15">
        <f t="shared" si="0"/>
        <v>72067.05</v>
      </c>
      <c r="H11" s="15"/>
    </row>
    <row r="12" spans="1:8" ht="78.75" x14ac:dyDescent="0.25">
      <c r="A12" s="38">
        <v>7</v>
      </c>
      <c r="B12" s="38" t="str">
        <f>[1]Estimate!B40</f>
        <v>5.22.6</v>
      </c>
      <c r="C12" s="18" t="str">
        <f>[1]Estimate!C40</f>
        <v>Steel reinforcement for R.C.C. work including straightening, cutting, bending, placing in position and binding all complete upto plinth level.Thermo-Mechanically Treated bars of grade Fe-500D or more</v>
      </c>
      <c r="D12" s="15" t="str">
        <f>[1]Estimate!K43</f>
        <v>KG</v>
      </c>
      <c r="E12" s="15">
        <v>83.5</v>
      </c>
      <c r="F12" s="47" t="e">
        <f>#REF!</f>
        <v>#REF!</v>
      </c>
      <c r="G12" s="15" t="e">
        <f t="shared" si="0"/>
        <v>#REF!</v>
      </c>
      <c r="H12" s="43"/>
    </row>
    <row r="13" spans="1:8" ht="94.5" x14ac:dyDescent="0.25">
      <c r="A13" s="44">
        <v>8</v>
      </c>
      <c r="B13" s="44" t="str">
        <f>[1]Estimate!B44</f>
        <v>12.41.2</v>
      </c>
      <c r="C13" s="18" t="str">
        <f>[1]Estimate!C44</f>
        <v>Providing and fixing on wall face unplasticised Rigid PVC rain water pipes conforming to IS : 13592 Type A, including jointing with seal ring conforming to IS : 5382, leaving 10 mm gap for thermal expansion, (i) Single socketed pipes.</v>
      </c>
      <c r="D13" s="15"/>
      <c r="E13" s="15"/>
      <c r="F13" s="47"/>
      <c r="G13" s="15"/>
      <c r="H13" s="19"/>
    </row>
    <row r="14" spans="1:8" ht="15.75" x14ac:dyDescent="0.25">
      <c r="A14" s="44"/>
      <c r="B14" s="44"/>
      <c r="C14" s="18" t="s">
        <v>24</v>
      </c>
      <c r="D14" s="15" t="s">
        <v>25</v>
      </c>
      <c r="E14" s="15">
        <v>305.05</v>
      </c>
      <c r="F14" s="47">
        <f>[1]Estimate!J48</f>
        <v>35</v>
      </c>
      <c r="G14" s="15">
        <f t="shared" ref="G14" si="1">E14*F14</f>
        <v>10676.75</v>
      </c>
      <c r="H14" s="19"/>
    </row>
    <row r="15" spans="1:8" ht="110.25" x14ac:dyDescent="0.25">
      <c r="A15" s="44">
        <v>9</v>
      </c>
      <c r="B15" s="44" t="str">
        <f>[1]Estimate!B50</f>
        <v>12.42.6.2</v>
      </c>
      <c r="C15" s="18" t="str">
        <f>[1]Estimate!C49</f>
        <v>Providing and fixing on wall face unplasticised - PVC moulded fittings/ accessories for unplasticised Rigid PVC rain water pipes conforming to IS : 13592 Type A, including jointing with seal ring conforming to IS : 5382, leaving 10 mm gap for thermal expansion.</v>
      </c>
      <c r="D15" s="15"/>
      <c r="E15" s="15"/>
      <c r="F15" s="47"/>
      <c r="G15" s="15"/>
      <c r="H15" s="19"/>
    </row>
    <row r="16" spans="1:8" x14ac:dyDescent="0.25">
      <c r="A16" s="44"/>
      <c r="B16" s="44"/>
      <c r="C16" s="26" t="s">
        <v>26</v>
      </c>
      <c r="D16" s="15" t="s">
        <v>27</v>
      </c>
      <c r="E16" s="15">
        <v>113.8</v>
      </c>
      <c r="F16" s="47">
        <f>[1]Estimate!J52</f>
        <v>6</v>
      </c>
      <c r="G16" s="15">
        <f t="shared" ref="G16" si="2">E16*F16</f>
        <v>682.8</v>
      </c>
      <c r="H16" s="19"/>
    </row>
    <row r="17" spans="1:8" ht="90" x14ac:dyDescent="0.25">
      <c r="A17" s="44">
        <f>10</f>
        <v>10</v>
      </c>
      <c r="B17" s="44">
        <v>12.42</v>
      </c>
      <c r="C17" s="26" t="str">
        <f>[1]Estimate!C53</f>
        <v>Providing and fixing on wall face unplasticised - PVC moulded fittings/ accessories for unplasticised Rigid PVC rain water pipes conforming to IS : 13592 Type A, including jointing with seal ring conforming to IS : 5382, leaving 10 mm gap for thermal expansion.</v>
      </c>
      <c r="D17" s="15"/>
      <c r="E17" s="15"/>
      <c r="F17" s="47"/>
      <c r="G17" s="47"/>
      <c r="H17" s="43"/>
    </row>
    <row r="18" spans="1:8" ht="15.75" x14ac:dyDescent="0.25">
      <c r="A18" s="10"/>
      <c r="B18" s="10" t="str">
        <f>[1]Estimate!B54</f>
        <v>12.42.1.2</v>
      </c>
      <c r="C18" s="31" t="s">
        <v>28</v>
      </c>
      <c r="D18" s="15" t="s">
        <v>27</v>
      </c>
      <c r="E18" s="15">
        <v>117.8</v>
      </c>
      <c r="F18" s="47">
        <f>[1]Estimate!J56</f>
        <v>18</v>
      </c>
      <c r="G18" s="15">
        <f>E18*F18</f>
        <v>2120.4</v>
      </c>
      <c r="H18" s="15"/>
    </row>
    <row r="19" spans="1:8" ht="315" x14ac:dyDescent="0.25">
      <c r="A19" s="44">
        <v>11</v>
      </c>
      <c r="B19" s="44">
        <f>[1]Estimate!B57</f>
        <v>12.5</v>
      </c>
      <c r="C19" s="31" t="s">
        <v>42</v>
      </c>
      <c r="D19" s="15" t="s">
        <v>29</v>
      </c>
      <c r="E19" s="15">
        <v>627.54999999999995</v>
      </c>
      <c r="F19" s="15">
        <f>[1]Estimate!J66</f>
        <v>1248</v>
      </c>
      <c r="G19" s="15">
        <f t="shared" ref="G19:G28" si="3">E19*F19</f>
        <v>783182.39999999991</v>
      </c>
      <c r="H19" s="43"/>
    </row>
    <row r="20" spans="1:8" ht="120" x14ac:dyDescent="0.25">
      <c r="A20" s="44">
        <v>12</v>
      </c>
      <c r="B20" s="44" t="str">
        <f>[1]Estimate!B68</f>
        <v>12.51.1</v>
      </c>
      <c r="C20" s="26" t="str">
        <f>[1]Estimate!C67</f>
        <v>Providing and fixing precoated galvanised steel sheet roofing accessories 0.50 mm (+0.05 %) total coated thickness, Zinc coating 120 grams per sqm as per IS: 277, in 240 mpa steel grade, 5-7 microns epoxyprimer on both side of the sheet and polyester top coat 15-18 microns using self drilling/ self tapping screws complete :</v>
      </c>
      <c r="D20" s="15"/>
      <c r="E20" s="15"/>
      <c r="F20" s="15"/>
      <c r="G20" s="47"/>
      <c r="H20" s="43"/>
    </row>
    <row r="21" spans="1:8" x14ac:dyDescent="0.25">
      <c r="A21" s="44"/>
      <c r="B21" s="44"/>
      <c r="C21" s="26" t="str">
        <f>[1]Estimate!C68</f>
        <v>Ridges plain (500 - 600mm)</v>
      </c>
      <c r="D21" s="15" t="s">
        <v>25</v>
      </c>
      <c r="E21" s="15">
        <v>416.3</v>
      </c>
      <c r="F21" s="15">
        <f>[1]Estimate!J70</f>
        <v>47</v>
      </c>
      <c r="G21" s="47">
        <f t="shared" ref="G21" si="4">E21*F21</f>
        <v>19566.100000000002</v>
      </c>
      <c r="H21" s="43"/>
    </row>
    <row r="22" spans="1:8" ht="120" x14ac:dyDescent="0.25">
      <c r="A22" s="44">
        <v>13</v>
      </c>
      <c r="B22" s="44">
        <f>[1]Estimate!B71</f>
        <v>12.51</v>
      </c>
      <c r="C22" s="26" t="str">
        <f>[1]Estimate!C71</f>
        <v>Providing and fixing precoated galvanised steel sheet roofing accessories 0.50 mm (+0.05 %) total coated thickness, Zinc coating 120 grams per sqm as per IS: 277, in 240 mpa steel grade, 5-7 microns epoxyprimer on both side of the sheet and polyester top coat 15-18 microns using self drilling/ self tapping screws complete :</v>
      </c>
      <c r="D22" s="15"/>
      <c r="E22" s="15"/>
      <c r="F22" s="15"/>
      <c r="G22" s="47"/>
      <c r="H22" s="43"/>
    </row>
    <row r="23" spans="1:8" x14ac:dyDescent="0.25">
      <c r="A23" s="44"/>
      <c r="B23" s="44" t="str">
        <f>[1]Estimate!B72</f>
        <v>12.51.6</v>
      </c>
      <c r="C23" s="26" t="str">
        <f>[1]Estimate!C72</f>
        <v>Gutter (600 mm over all girth)</v>
      </c>
      <c r="D23" s="15" t="s">
        <v>25</v>
      </c>
      <c r="E23" s="15">
        <v>1041.75</v>
      </c>
      <c r="F23" s="15">
        <f>[1]Estimate!J74</f>
        <v>94</v>
      </c>
      <c r="G23" s="47">
        <f t="shared" si="3"/>
        <v>97924.5</v>
      </c>
      <c r="H23" s="43"/>
    </row>
    <row r="24" spans="1:8" ht="105" x14ac:dyDescent="0.25">
      <c r="A24" s="44">
        <v>14</v>
      </c>
      <c r="B24" s="44">
        <f>[1]Estimate!B75</f>
        <v>10.16</v>
      </c>
      <c r="C24" s="26" t="str">
        <f>[1]Estimate!C75</f>
        <v>Steel work in built up tubular (round, square or rectangular hollow tubes etc.) trusses etc., including cutting, hoisting, fixing in position andapplying a priming coat of approved steel primer, including welding and bolted with special shaped washers etc. complete Hot finished welded type tubes</v>
      </c>
      <c r="D24" s="15" t="str">
        <f>[1]Estimate!K86</f>
        <v>Kg</v>
      </c>
      <c r="E24" s="15">
        <v>143.44999999999999</v>
      </c>
      <c r="F24" s="15">
        <f>[1]Estimate!J87</f>
        <v>15306</v>
      </c>
      <c r="G24" s="47">
        <f t="shared" si="3"/>
        <v>2195645.6999999997</v>
      </c>
      <c r="H24" s="19"/>
    </row>
    <row r="25" spans="1:8" ht="75" x14ac:dyDescent="0.25">
      <c r="A25" s="44">
        <v>15</v>
      </c>
      <c r="B25" s="44">
        <f>[1]Estimate!B89</f>
        <v>10.199999999999999</v>
      </c>
      <c r="C25" s="26" t="str">
        <f>[1]Estimate!C89</f>
        <v>Structural steel work riveted, bolted or welded in built up sections, trusses and framed work, including cutting, hoisting, fixing in position andapplying a priming coat of approved steel primer all complete</v>
      </c>
      <c r="D25" s="15" t="s">
        <v>23</v>
      </c>
      <c r="E25" s="15">
        <v>101.75</v>
      </c>
      <c r="F25" s="47">
        <f>[1]Estimate!J103</f>
        <v>2325</v>
      </c>
      <c r="G25" s="47">
        <f t="shared" si="3"/>
        <v>236568.75</v>
      </c>
      <c r="H25" s="19"/>
    </row>
    <row r="26" spans="1:8" ht="31.5" x14ac:dyDescent="0.25">
      <c r="A26" s="44">
        <v>16</v>
      </c>
      <c r="B26" s="44">
        <f>[1]Estimate!B104</f>
        <v>10.19</v>
      </c>
      <c r="C26" s="18" t="str">
        <f>[1]Estimate!C104</f>
        <v>Providing and fixing M.S round holding down bolts with nuts and washer plates complete.</v>
      </c>
      <c r="D26" s="15" t="s">
        <v>23</v>
      </c>
      <c r="E26" s="15">
        <v>83.85</v>
      </c>
      <c r="F26" s="47">
        <f>[1]Estimate!J105</f>
        <v>160</v>
      </c>
      <c r="G26" s="47">
        <f t="shared" si="3"/>
        <v>13416</v>
      </c>
      <c r="H26" s="19"/>
    </row>
    <row r="27" spans="1:8" ht="31.5" x14ac:dyDescent="0.25">
      <c r="A27" s="44">
        <v>17</v>
      </c>
      <c r="B27" s="44" t="str">
        <f>[1]Estimate!B107</f>
        <v>13.44.1</v>
      </c>
      <c r="C27" s="18" t="str">
        <f>[1]Estimate!C106</f>
        <v>Finishing walls with water proofing cement paint of required shade :</v>
      </c>
      <c r="D27" s="15" t="s">
        <v>29</v>
      </c>
      <c r="E27" s="15">
        <v>91.25</v>
      </c>
      <c r="F27" s="47">
        <f>[1]Estimate!J110</f>
        <v>15</v>
      </c>
      <c r="G27" s="47">
        <f t="shared" si="3"/>
        <v>1368.75</v>
      </c>
      <c r="H27" s="19"/>
    </row>
    <row r="28" spans="1:8" ht="47.25" x14ac:dyDescent="0.25">
      <c r="A28" s="44">
        <v>18</v>
      </c>
      <c r="B28" s="44" t="str">
        <f>[1]Estimate!B112</f>
        <v>13.61.1</v>
      </c>
      <c r="C28" s="18" t="str">
        <f>[1]Estimate!C111</f>
        <v>Painting with synthetic enamel paint of approved brand and manufacture to  give an even shade :</v>
      </c>
      <c r="D28" s="15" t="s">
        <v>29</v>
      </c>
      <c r="E28" s="15">
        <v>144.65</v>
      </c>
      <c r="F28" s="47">
        <f>[1]Estimate!J135</f>
        <v>527</v>
      </c>
      <c r="G28" s="47">
        <f t="shared" si="3"/>
        <v>76230.55</v>
      </c>
      <c r="H28" s="19"/>
    </row>
    <row r="29" spans="1:8" x14ac:dyDescent="0.25">
      <c r="A29" s="108" t="s">
        <v>43</v>
      </c>
      <c r="B29" s="109"/>
      <c r="C29" s="109"/>
      <c r="D29" s="109"/>
      <c r="E29" s="109"/>
      <c r="F29" s="110"/>
      <c r="G29" s="45" t="e">
        <f>SUM(G6:G28)</f>
        <v>#REF!</v>
      </c>
      <c r="H29" s="19"/>
    </row>
    <row r="30" spans="1:8" ht="18.75" x14ac:dyDescent="0.25">
      <c r="A30" s="111" t="s">
        <v>44</v>
      </c>
      <c r="B30" s="112"/>
      <c r="C30" s="112"/>
      <c r="D30" s="112"/>
      <c r="E30" s="112"/>
      <c r="F30" s="113"/>
      <c r="G30" s="49"/>
      <c r="H30" s="19"/>
    </row>
  </sheetData>
  <mergeCells count="5">
    <mergeCell ref="G1:H1"/>
    <mergeCell ref="A2:H3"/>
    <mergeCell ref="A5:H5"/>
    <mergeCell ref="A29:F29"/>
    <mergeCell ref="A30:F30"/>
  </mergeCells>
  <pageMargins left="0.7" right="0.7" top="0.75" bottom="0.75" header="0.3" footer="0.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6"/>
  <sheetViews>
    <sheetView view="pageBreakPreview" topLeftCell="A12" zoomScale="60" workbookViewId="0">
      <selection activeCell="O7" sqref="O7"/>
    </sheetView>
  </sheetViews>
  <sheetFormatPr defaultRowHeight="15" x14ac:dyDescent="0.25"/>
  <cols>
    <col min="2" max="2" width="13.28515625" customWidth="1"/>
    <col min="3" max="3" width="44.42578125" customWidth="1"/>
    <col min="5" max="5" width="10.140625" customWidth="1"/>
    <col min="6" max="6" width="13.85546875" customWidth="1"/>
    <col min="7" max="7" width="19.5703125" bestFit="1" customWidth="1"/>
    <col min="8" max="8" width="22.5703125" customWidth="1"/>
  </cols>
  <sheetData>
    <row r="1" spans="1:8" x14ac:dyDescent="0.25">
      <c r="G1" s="101" t="s">
        <v>34</v>
      </c>
      <c r="H1" s="101"/>
    </row>
    <row r="2" spans="1:8" ht="15" customHeight="1" x14ac:dyDescent="0.25">
      <c r="A2" s="102" t="s">
        <v>83</v>
      </c>
      <c r="B2" s="103"/>
      <c r="C2" s="103"/>
      <c r="D2" s="103"/>
      <c r="E2" s="103"/>
      <c r="F2" s="103"/>
      <c r="G2" s="103"/>
      <c r="H2" s="103"/>
    </row>
    <row r="3" spans="1:8" x14ac:dyDescent="0.25">
      <c r="A3" s="104"/>
      <c r="B3" s="105"/>
      <c r="C3" s="105"/>
      <c r="D3" s="105"/>
      <c r="E3" s="105"/>
      <c r="F3" s="105"/>
      <c r="G3" s="105"/>
      <c r="H3" s="105"/>
    </row>
    <row r="4" spans="1:8" ht="30" x14ac:dyDescent="0.25">
      <c r="A4" s="45" t="s">
        <v>36</v>
      </c>
      <c r="B4" s="46" t="s">
        <v>1</v>
      </c>
      <c r="C4" s="45" t="s">
        <v>37</v>
      </c>
      <c r="D4" s="45" t="s">
        <v>38</v>
      </c>
      <c r="E4" s="45" t="s">
        <v>39</v>
      </c>
      <c r="F4" s="45" t="s">
        <v>7</v>
      </c>
      <c r="G4" s="45" t="s">
        <v>40</v>
      </c>
      <c r="H4" s="45" t="s">
        <v>8</v>
      </c>
    </row>
    <row r="5" spans="1:8" x14ac:dyDescent="0.25">
      <c r="A5" s="106" t="s">
        <v>41</v>
      </c>
      <c r="B5" s="107"/>
      <c r="C5" s="107"/>
      <c r="D5" s="107"/>
      <c r="E5" s="107"/>
      <c r="F5" s="107"/>
      <c r="G5" s="107"/>
      <c r="H5" s="107"/>
    </row>
    <row r="6" spans="1:8" ht="120" x14ac:dyDescent="0.25">
      <c r="A6" s="10">
        <v>1</v>
      </c>
      <c r="B6" s="10" t="str">
        <f>[2]Estimate!B5</f>
        <v>10.25.2</v>
      </c>
      <c r="C6" s="6" t="s">
        <v>57</v>
      </c>
      <c r="D6" s="47" t="s">
        <v>23</v>
      </c>
      <c r="E6" s="47">
        <v>131</v>
      </c>
      <c r="F6" s="47" t="e">
        <f>#REF!</f>
        <v>#REF!</v>
      </c>
      <c r="G6" s="47" t="e">
        <f t="shared" ref="G6:G14" si="0">E6*F6</f>
        <v>#REF!</v>
      </c>
      <c r="H6" s="15"/>
    </row>
    <row r="7" spans="1:8" ht="270" x14ac:dyDescent="0.25">
      <c r="A7" s="10">
        <v>2</v>
      </c>
      <c r="B7" s="10">
        <f>[2]Estimate!B28</f>
        <v>12.5</v>
      </c>
      <c r="C7" s="6" t="str">
        <f>[2]Estimate!C28</f>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
      <c r="D7" s="15" t="s">
        <v>20</v>
      </c>
      <c r="E7" s="47">
        <v>627.54999999999995</v>
      </c>
      <c r="F7" s="15" t="e">
        <f>#REF!</f>
        <v>#REF!</v>
      </c>
      <c r="G7" s="47" t="e">
        <f t="shared" si="0"/>
        <v>#REF!</v>
      </c>
      <c r="H7" s="15"/>
    </row>
    <row r="8" spans="1:8" ht="90" x14ac:dyDescent="0.25">
      <c r="A8" s="10">
        <v>3</v>
      </c>
      <c r="B8" s="10" t="str">
        <f>[2]Estimate!B40</f>
        <v>15.2.2</v>
      </c>
      <c r="C8" s="6" t="str">
        <f>[2]Estimate!C40</f>
        <v>Demolishing cement concrete manually/ by mechanical means including disposal of material within 50 metres lead as per directionof Engineer - in - charge Nominal concrete 1:4:8 or leaner mix (i/c equivalent design mix)</v>
      </c>
      <c r="D8" s="15" t="s">
        <v>15</v>
      </c>
      <c r="E8" s="47">
        <v>1072.8</v>
      </c>
      <c r="F8" s="15" t="e">
        <f>#REF!</f>
        <v>#REF!</v>
      </c>
      <c r="G8" s="47" t="e">
        <f t="shared" si="0"/>
        <v>#REF!</v>
      </c>
      <c r="H8" s="15"/>
    </row>
    <row r="9" spans="1:8" ht="105" x14ac:dyDescent="0.25">
      <c r="A9" s="10">
        <v>4</v>
      </c>
      <c r="B9" s="10" t="str">
        <f>[2]Estimate!B49</f>
        <v>2.6.1</v>
      </c>
      <c r="C9" s="6" t="str">
        <f>[2]Estimate!C49</f>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
      <c r="D9" s="15" t="s">
        <v>15</v>
      </c>
      <c r="E9" s="47">
        <v>181.85</v>
      </c>
      <c r="F9" s="15" t="e">
        <f>#REF!</f>
        <v>#REF!</v>
      </c>
      <c r="G9" s="47" t="e">
        <f t="shared" si="0"/>
        <v>#REF!</v>
      </c>
      <c r="H9" s="15"/>
    </row>
    <row r="10" spans="1:8" ht="120" x14ac:dyDescent="0.25">
      <c r="A10" s="10">
        <v>5</v>
      </c>
      <c r="B10" s="10" t="str">
        <f>[2]Estimate!B60</f>
        <v>4.1.3</v>
      </c>
      <c r="C10" s="6" t="s">
        <v>58</v>
      </c>
      <c r="D10" s="15" t="s">
        <v>15</v>
      </c>
      <c r="E10" s="47">
        <v>6788.6</v>
      </c>
      <c r="F10" s="15" t="e">
        <f>#REF!</f>
        <v>#REF!</v>
      </c>
      <c r="G10" s="47" t="e">
        <f t="shared" si="0"/>
        <v>#REF!</v>
      </c>
      <c r="H10" s="15"/>
    </row>
    <row r="11" spans="1:8" ht="90" x14ac:dyDescent="0.25">
      <c r="A11" s="10">
        <v>6</v>
      </c>
      <c r="B11" s="10" t="str">
        <f>[2]Estimate!B69</f>
        <v>5.1.2</v>
      </c>
      <c r="C11" s="6" t="str">
        <f>[2]Estimate!C69</f>
        <v>Providing and laying in position specified grade of reinforced cement concrete, excluding the cost of centering, shuttering, finishing and reinforcement - All work up to plinth level : 1:1.5:3 (1 cement : 1.5 coarse sand (zone-III): 3 graded stone aggregate 20 mm nominal size).</v>
      </c>
      <c r="D11" s="15" t="s">
        <v>15</v>
      </c>
      <c r="E11" s="47">
        <v>7718.25</v>
      </c>
      <c r="F11" s="15" t="e">
        <f>#REF!</f>
        <v>#REF!</v>
      </c>
      <c r="G11" s="47" t="e">
        <f t="shared" si="0"/>
        <v>#REF!</v>
      </c>
      <c r="H11" s="15"/>
    </row>
    <row r="12" spans="1:8" ht="78.75" x14ac:dyDescent="0.25">
      <c r="A12" s="38">
        <v>7</v>
      </c>
      <c r="B12" s="38" t="str">
        <f>[2]Estimate!B74</f>
        <v>5.22.6</v>
      </c>
      <c r="C12" s="18" t="str">
        <f>[2]Estimate!C74</f>
        <v>Steel reinforcement for R.C.C. work including straightening, cutting, bending, placing in position and binding all complete upto plinth level.Thermo-Mechanically Treated bars of grade Fe-500D or more</v>
      </c>
      <c r="D12" s="15" t="s">
        <v>23</v>
      </c>
      <c r="E12" s="47">
        <v>83.5</v>
      </c>
      <c r="F12" s="47" t="e">
        <f>#REF!</f>
        <v>#REF!</v>
      </c>
      <c r="G12" s="47" t="e">
        <f t="shared" si="0"/>
        <v>#REF!</v>
      </c>
      <c r="H12" s="43"/>
    </row>
    <row r="13" spans="1:8" ht="63" x14ac:dyDescent="0.25">
      <c r="A13" s="44">
        <v>8</v>
      </c>
      <c r="B13" s="44" t="str">
        <f>[2]Estimate!B79</f>
        <v>5.9.1</v>
      </c>
      <c r="C13" s="18" t="str">
        <f>[2]Estimate!C79</f>
        <v>Centering and shuttering including strutting, propping etc. and removal of form for all heights : Foundations, footings, bases of columns, etc. for mass concrete</v>
      </c>
      <c r="D13" s="15" t="s">
        <v>20</v>
      </c>
      <c r="E13" s="47">
        <v>284.85000000000002</v>
      </c>
      <c r="F13" s="47" t="e">
        <f>#REF!</f>
        <v>#REF!</v>
      </c>
      <c r="G13" s="47" t="e">
        <f t="shared" si="0"/>
        <v>#REF!</v>
      </c>
      <c r="H13" s="19"/>
    </row>
    <row r="14" spans="1:8" ht="63" x14ac:dyDescent="0.25">
      <c r="A14" s="44">
        <v>9</v>
      </c>
      <c r="B14" s="44" t="str">
        <f>[2]Estimate!B85</f>
        <v>13.61.1</v>
      </c>
      <c r="C14" s="18" t="s">
        <v>59</v>
      </c>
      <c r="D14" s="15" t="s">
        <v>20</v>
      </c>
      <c r="E14" s="47">
        <v>144.65</v>
      </c>
      <c r="F14" s="47" t="e">
        <f>#REF!</f>
        <v>#REF!</v>
      </c>
      <c r="G14" s="47" t="e">
        <f t="shared" si="0"/>
        <v>#REF!</v>
      </c>
      <c r="H14" s="19"/>
    </row>
    <row r="15" spans="1:8" x14ac:dyDescent="0.25">
      <c r="A15" s="108" t="s">
        <v>43</v>
      </c>
      <c r="B15" s="109"/>
      <c r="C15" s="109"/>
      <c r="D15" s="109"/>
      <c r="E15" s="109"/>
      <c r="F15" s="110"/>
      <c r="G15" s="45" t="e">
        <f>SUM(G6:G14)</f>
        <v>#REF!</v>
      </c>
      <c r="H15" s="19"/>
    </row>
    <row r="16" spans="1:8" ht="18.75" x14ac:dyDescent="0.25">
      <c r="A16" s="111"/>
      <c r="B16" s="112"/>
      <c r="C16" s="112"/>
      <c r="D16" s="112"/>
      <c r="E16" s="112"/>
      <c r="F16" s="113"/>
      <c r="G16" s="49"/>
      <c r="H16" s="19"/>
    </row>
  </sheetData>
  <mergeCells count="5">
    <mergeCell ref="G1:H1"/>
    <mergeCell ref="A2:H3"/>
    <mergeCell ref="A5:H5"/>
    <mergeCell ref="A15:F15"/>
    <mergeCell ref="A16:F16"/>
  </mergeCells>
  <pageMargins left="0.7" right="0.7" top="0.75" bottom="0.75"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3"/>
  <sheetViews>
    <sheetView view="pageBreakPreview" topLeftCell="A10" zoomScale="60" workbookViewId="0">
      <selection activeCell="O7" sqref="O7"/>
    </sheetView>
  </sheetViews>
  <sheetFormatPr defaultRowHeight="15" x14ac:dyDescent="0.25"/>
  <cols>
    <col min="2" max="2" width="13.28515625" customWidth="1"/>
    <col min="3" max="3" width="44.42578125" customWidth="1"/>
    <col min="5" max="5" width="10.140625" customWidth="1"/>
    <col min="6" max="6" width="13.85546875" customWidth="1"/>
    <col min="7" max="7" width="19.5703125" bestFit="1" customWidth="1"/>
    <col min="8" max="8" width="22.5703125" customWidth="1"/>
  </cols>
  <sheetData>
    <row r="1" spans="1:8" x14ac:dyDescent="0.25">
      <c r="G1" s="101" t="s">
        <v>34</v>
      </c>
      <c r="H1" s="101"/>
    </row>
    <row r="2" spans="1:8" ht="15" customHeight="1" x14ac:dyDescent="0.25">
      <c r="A2" s="102" t="s">
        <v>83</v>
      </c>
      <c r="B2" s="103"/>
      <c r="C2" s="103"/>
      <c r="D2" s="103"/>
      <c r="E2" s="103"/>
      <c r="F2" s="103"/>
      <c r="G2" s="103"/>
      <c r="H2" s="103"/>
    </row>
    <row r="3" spans="1:8" x14ac:dyDescent="0.25">
      <c r="A3" s="104"/>
      <c r="B3" s="105"/>
      <c r="C3" s="105"/>
      <c r="D3" s="105"/>
      <c r="E3" s="105"/>
      <c r="F3" s="105"/>
      <c r="G3" s="105"/>
      <c r="H3" s="105"/>
    </row>
    <row r="4" spans="1:8" ht="30" x14ac:dyDescent="0.25">
      <c r="A4" s="45" t="s">
        <v>36</v>
      </c>
      <c r="B4" s="46" t="s">
        <v>1</v>
      </c>
      <c r="C4" s="45" t="s">
        <v>37</v>
      </c>
      <c r="D4" s="45" t="s">
        <v>38</v>
      </c>
      <c r="E4" s="45" t="s">
        <v>39</v>
      </c>
      <c r="F4" s="45" t="s">
        <v>7</v>
      </c>
      <c r="G4" s="45" t="s">
        <v>40</v>
      </c>
      <c r="H4" s="45" t="s">
        <v>8</v>
      </c>
    </row>
    <row r="5" spans="1:8" x14ac:dyDescent="0.25">
      <c r="A5" s="106" t="s">
        <v>41</v>
      </c>
      <c r="B5" s="107"/>
      <c r="C5" s="107"/>
      <c r="D5" s="107"/>
      <c r="E5" s="107"/>
      <c r="F5" s="107"/>
      <c r="G5" s="107"/>
      <c r="H5" s="107"/>
    </row>
    <row r="6" spans="1:8" ht="120" x14ac:dyDescent="0.25">
      <c r="A6" s="10">
        <v>1</v>
      </c>
      <c r="B6" s="10" t="str">
        <f>[2]Estimate!B5</f>
        <v>10.25.2</v>
      </c>
      <c r="C6" s="6" t="s">
        <v>57</v>
      </c>
      <c r="D6" s="47" t="s">
        <v>23</v>
      </c>
      <c r="E6" s="47">
        <v>131</v>
      </c>
      <c r="F6" s="47" t="e">
        <f>#REF!</f>
        <v>#REF!</v>
      </c>
      <c r="G6" s="47" t="e">
        <f t="shared" ref="G6:G11" si="0">E6*F6</f>
        <v>#REF!</v>
      </c>
      <c r="H6" s="15"/>
    </row>
    <row r="7" spans="1:8" ht="270" x14ac:dyDescent="0.25">
      <c r="A7" s="10">
        <v>2</v>
      </c>
      <c r="B7" s="10">
        <f>[2]Estimate!B28</f>
        <v>12.5</v>
      </c>
      <c r="C7" s="6" t="str">
        <f>[2]Estimate!C28</f>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
      <c r="D7" s="15" t="s">
        <v>20</v>
      </c>
      <c r="E7" s="47">
        <v>627.54999999999995</v>
      </c>
      <c r="F7" s="15" t="e">
        <f>#REF!</f>
        <v>#REF!</v>
      </c>
      <c r="G7" s="47" t="e">
        <f t="shared" si="0"/>
        <v>#REF!</v>
      </c>
      <c r="H7" s="15"/>
    </row>
    <row r="8" spans="1:8" ht="90" x14ac:dyDescent="0.25">
      <c r="A8" s="10">
        <v>3</v>
      </c>
      <c r="B8" s="10" t="str">
        <f>[2]Estimate!B40</f>
        <v>15.2.2</v>
      </c>
      <c r="C8" s="6" t="str">
        <f>[2]Estimate!C40</f>
        <v>Demolishing cement concrete manually/ by mechanical means including disposal of material within 50 metres lead as per directionof Engineer - in - charge Nominal concrete 1:4:8 or leaner mix (i/c equivalent design mix)</v>
      </c>
      <c r="D8" s="15" t="s">
        <v>15</v>
      </c>
      <c r="E8" s="47">
        <v>1072.8</v>
      </c>
      <c r="F8" s="15" t="e">
        <f>#REF!</f>
        <v>#REF!</v>
      </c>
      <c r="G8" s="47" t="e">
        <f t="shared" si="0"/>
        <v>#REF!</v>
      </c>
      <c r="H8" s="15"/>
    </row>
    <row r="9" spans="1:8" ht="105" x14ac:dyDescent="0.25">
      <c r="A9" s="10">
        <v>4</v>
      </c>
      <c r="B9" s="10" t="str">
        <f>[2]Estimate!B49</f>
        <v>2.6.1</v>
      </c>
      <c r="C9" s="6" t="str">
        <f>[2]Estimate!C49</f>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
      <c r="D9" s="15" t="s">
        <v>15</v>
      </c>
      <c r="E9" s="47">
        <v>181.85</v>
      </c>
      <c r="F9" s="15" t="e">
        <f>#REF!</f>
        <v>#REF!</v>
      </c>
      <c r="G9" s="47" t="e">
        <f t="shared" si="0"/>
        <v>#REF!</v>
      </c>
      <c r="H9" s="15"/>
    </row>
    <row r="10" spans="1:8" ht="120" x14ac:dyDescent="0.25">
      <c r="A10" s="10">
        <v>5</v>
      </c>
      <c r="B10" s="10" t="str">
        <f>[2]Estimate!B60</f>
        <v>4.1.3</v>
      </c>
      <c r="C10" s="6" t="s">
        <v>58</v>
      </c>
      <c r="D10" s="15" t="s">
        <v>15</v>
      </c>
      <c r="E10" s="47">
        <v>6788.6</v>
      </c>
      <c r="F10" s="15" t="e">
        <f>#REF!</f>
        <v>#REF!</v>
      </c>
      <c r="G10" s="47" t="e">
        <f t="shared" si="0"/>
        <v>#REF!</v>
      </c>
      <c r="H10" s="15"/>
    </row>
    <row r="11" spans="1:8" ht="63" x14ac:dyDescent="0.25">
      <c r="A11" s="44">
        <v>6</v>
      </c>
      <c r="B11" s="44" t="str">
        <f>[2]Estimate!B85</f>
        <v>13.61.1</v>
      </c>
      <c r="C11" s="18" t="s">
        <v>59</v>
      </c>
      <c r="D11" s="15" t="s">
        <v>20</v>
      </c>
      <c r="E11" s="47">
        <v>144.65</v>
      </c>
      <c r="F11" s="47" t="e">
        <f>#REF!</f>
        <v>#REF!</v>
      </c>
      <c r="G11" s="47" t="e">
        <f t="shared" si="0"/>
        <v>#REF!</v>
      </c>
      <c r="H11" s="19"/>
    </row>
    <row r="12" spans="1:8" x14ac:dyDescent="0.25">
      <c r="A12" s="108" t="s">
        <v>43</v>
      </c>
      <c r="B12" s="109"/>
      <c r="C12" s="109"/>
      <c r="D12" s="109"/>
      <c r="E12" s="109"/>
      <c r="F12" s="110"/>
      <c r="G12" s="45" t="e">
        <f>SUM(G6:G11)</f>
        <v>#REF!</v>
      </c>
      <c r="H12" s="19"/>
    </row>
    <row r="13" spans="1:8" ht="18.75" x14ac:dyDescent="0.25">
      <c r="A13" s="111"/>
      <c r="B13" s="112"/>
      <c r="C13" s="112"/>
      <c r="D13" s="112"/>
      <c r="E13" s="112"/>
      <c r="F13" s="113"/>
      <c r="G13" s="49"/>
      <c r="H13" s="19"/>
    </row>
  </sheetData>
  <mergeCells count="5">
    <mergeCell ref="G1:H1"/>
    <mergeCell ref="A2:H3"/>
    <mergeCell ref="A5:H5"/>
    <mergeCell ref="A12:F12"/>
    <mergeCell ref="A13:F13"/>
  </mergeCells>
  <pageMargins left="0.7" right="0.7" top="0.75" bottom="0.75" header="0.3" footer="0.3"/>
  <pageSetup paperSize="9" scale="6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6"/>
  <sheetViews>
    <sheetView view="pageBreakPreview" topLeftCell="A10" zoomScale="60" workbookViewId="0">
      <selection activeCell="A15" sqref="A15:F15"/>
    </sheetView>
  </sheetViews>
  <sheetFormatPr defaultRowHeight="15" x14ac:dyDescent="0.25"/>
  <cols>
    <col min="2" max="2" width="13.28515625" customWidth="1"/>
    <col min="3" max="3" width="44.42578125" customWidth="1"/>
    <col min="5" max="5" width="10.140625" customWidth="1"/>
    <col min="6" max="6" width="13.85546875" customWidth="1"/>
    <col min="7" max="7" width="19.5703125" bestFit="1" customWidth="1"/>
    <col min="8" max="8" width="22.5703125" customWidth="1"/>
  </cols>
  <sheetData>
    <row r="1" spans="1:8" x14ac:dyDescent="0.25">
      <c r="G1" s="101" t="s">
        <v>34</v>
      </c>
      <c r="H1" s="101"/>
    </row>
    <row r="2" spans="1:8" ht="15" customHeight="1" x14ac:dyDescent="0.25">
      <c r="A2" s="102" t="s">
        <v>60</v>
      </c>
      <c r="B2" s="103"/>
      <c r="C2" s="103"/>
      <c r="D2" s="103"/>
      <c r="E2" s="103"/>
      <c r="F2" s="103"/>
      <c r="G2" s="103"/>
      <c r="H2" s="103"/>
    </row>
    <row r="3" spans="1:8" x14ac:dyDescent="0.25">
      <c r="A3" s="104"/>
      <c r="B3" s="105"/>
      <c r="C3" s="105"/>
      <c r="D3" s="105"/>
      <c r="E3" s="105"/>
      <c r="F3" s="105"/>
      <c r="G3" s="105"/>
      <c r="H3" s="105"/>
    </row>
    <row r="4" spans="1:8" ht="30" x14ac:dyDescent="0.25">
      <c r="A4" s="45" t="s">
        <v>36</v>
      </c>
      <c r="B4" s="46" t="s">
        <v>1</v>
      </c>
      <c r="C4" s="45" t="s">
        <v>37</v>
      </c>
      <c r="D4" s="45" t="s">
        <v>38</v>
      </c>
      <c r="E4" s="45" t="s">
        <v>39</v>
      </c>
      <c r="F4" s="45" t="s">
        <v>7</v>
      </c>
      <c r="G4" s="45" t="s">
        <v>40</v>
      </c>
      <c r="H4" s="45" t="s">
        <v>8</v>
      </c>
    </row>
    <row r="5" spans="1:8" x14ac:dyDescent="0.25">
      <c r="A5" s="106" t="s">
        <v>41</v>
      </c>
      <c r="B5" s="107"/>
      <c r="C5" s="107"/>
      <c r="D5" s="107"/>
      <c r="E5" s="107"/>
      <c r="F5" s="107"/>
      <c r="G5" s="107"/>
      <c r="H5" s="107"/>
    </row>
    <row r="6" spans="1:8" ht="120" x14ac:dyDescent="0.25">
      <c r="A6" s="10">
        <v>1</v>
      </c>
      <c r="B6" s="10" t="str">
        <f>[3]Estimate!B5</f>
        <v>10.25.2</v>
      </c>
      <c r="C6" s="6" t="s">
        <v>57</v>
      </c>
      <c r="D6" s="47" t="s">
        <v>23</v>
      </c>
      <c r="E6" s="47">
        <v>131</v>
      </c>
      <c r="F6" s="15">
        <f>[3]Estimate!J12</f>
        <v>2559</v>
      </c>
      <c r="G6" s="47">
        <f>E6*F6</f>
        <v>335229</v>
      </c>
      <c r="H6" s="15"/>
    </row>
    <row r="7" spans="1:8" ht="270" x14ac:dyDescent="0.25">
      <c r="A7" s="10">
        <v>2</v>
      </c>
      <c r="B7" s="10">
        <f>[3]Estimate!B13</f>
        <v>12.5</v>
      </c>
      <c r="C7" s="6" t="str">
        <f>[3]Estimate!C13</f>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
      <c r="D7" s="15" t="s">
        <v>20</v>
      </c>
      <c r="E7" s="47">
        <v>627.54999999999995</v>
      </c>
      <c r="F7" s="15">
        <f>[3]Estimate!J17</f>
        <v>250</v>
      </c>
      <c r="G7" s="47">
        <f t="shared" ref="G7:G14" si="0">E7*F7</f>
        <v>156887.5</v>
      </c>
      <c r="H7" s="15"/>
    </row>
    <row r="8" spans="1:8" ht="90" x14ac:dyDescent="0.25">
      <c r="A8" s="10">
        <v>3</v>
      </c>
      <c r="B8" s="10" t="str">
        <f>[3]Estimate!B18</f>
        <v>15.2.2</v>
      </c>
      <c r="C8" s="6" t="str">
        <f>[3]Estimate!C18</f>
        <v>Demolishing cement concrete manually/ by mechanical means including disposal of material within 50 metres lead as per directionof Engineer - in - charge Nominal concrete 1:4:8 or leaner mix (i/c equivalent design mix)</v>
      </c>
      <c r="D8" s="15" t="s">
        <v>15</v>
      </c>
      <c r="E8" s="47">
        <v>1072.8</v>
      </c>
      <c r="F8" s="15">
        <f>[3]Estimate!J21</f>
        <v>1</v>
      </c>
      <c r="G8" s="47">
        <f t="shared" si="0"/>
        <v>1072.8</v>
      </c>
      <c r="H8" s="15"/>
    </row>
    <row r="9" spans="1:8" ht="105" x14ac:dyDescent="0.25">
      <c r="A9" s="10">
        <v>4</v>
      </c>
      <c r="B9" s="10" t="str">
        <f>[3]Estimate!B22</f>
        <v>2.6.1</v>
      </c>
      <c r="C9" s="6" t="str">
        <f>[3]Estimate!C22</f>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
      <c r="D9" s="15" t="s">
        <v>15</v>
      </c>
      <c r="E9" s="47">
        <v>181.85</v>
      </c>
      <c r="F9" s="15">
        <f>[3]Estimate!J25</f>
        <v>2</v>
      </c>
      <c r="G9" s="47">
        <f t="shared" si="0"/>
        <v>363.7</v>
      </c>
      <c r="H9" s="15"/>
    </row>
    <row r="10" spans="1:8" ht="120" x14ac:dyDescent="0.25">
      <c r="A10" s="10">
        <v>5</v>
      </c>
      <c r="B10" s="10" t="str">
        <f>[3]Estimate!B27</f>
        <v>4.1.3</v>
      </c>
      <c r="C10" s="6" t="s">
        <v>58</v>
      </c>
      <c r="D10" s="15" t="s">
        <v>15</v>
      </c>
      <c r="E10" s="47">
        <v>6788.6</v>
      </c>
      <c r="F10" s="15">
        <f>[3]Estimate!J30</f>
        <v>2</v>
      </c>
      <c r="G10" s="47">
        <f t="shared" si="0"/>
        <v>13577.2</v>
      </c>
      <c r="H10" s="15"/>
    </row>
    <row r="11" spans="1:8" ht="90" x14ac:dyDescent="0.25">
      <c r="A11" s="10">
        <v>6</v>
      </c>
      <c r="B11" s="10" t="str">
        <f>[3]Estimate!B31</f>
        <v>5.1.2</v>
      </c>
      <c r="C11" s="6" t="str">
        <f>[3]Estimate!C31</f>
        <v>Providing and laying in position specified grade of reinforced cement concrete, excluding the cost of centering, shuttering, finishing and reinforcement - All work up to plinth level : 1:1.5:3 (1 cement : 1.5 coarse sand (zone-III): 3 graded stone aggregate 20 mm nominal size).</v>
      </c>
      <c r="D11" s="15" t="s">
        <v>15</v>
      </c>
      <c r="E11" s="47">
        <v>7718.25</v>
      </c>
      <c r="F11" s="15">
        <f>[3]Estimate!J34</f>
        <v>25</v>
      </c>
      <c r="G11" s="47">
        <f t="shared" si="0"/>
        <v>192956.25</v>
      </c>
      <c r="H11" s="15"/>
    </row>
    <row r="12" spans="1:8" ht="78.75" x14ac:dyDescent="0.25">
      <c r="A12" s="38">
        <v>7</v>
      </c>
      <c r="B12" s="38" t="str">
        <f>[3]Estimate!B35</f>
        <v>5.22.6</v>
      </c>
      <c r="C12" s="18" t="str">
        <f>[3]Estimate!C35</f>
        <v>Steel reinforcement for R.C.C. work including straightening, cutting, bending, placing in position and binding all complete upto plinth level.Thermo-Mechanically Treated bars of grade Fe-500D or more</v>
      </c>
      <c r="D12" s="15" t="s">
        <v>23</v>
      </c>
      <c r="E12" s="47">
        <v>83.5</v>
      </c>
      <c r="F12" s="47">
        <f>[3]Estimate!J38</f>
        <v>625</v>
      </c>
      <c r="G12" s="47">
        <f t="shared" si="0"/>
        <v>52187.5</v>
      </c>
      <c r="H12" s="43"/>
    </row>
    <row r="13" spans="1:8" ht="63" x14ac:dyDescent="0.25">
      <c r="A13" s="44">
        <v>8</v>
      </c>
      <c r="B13" s="44" t="str">
        <f>[3]Estimate!B39</f>
        <v>5.9.1</v>
      </c>
      <c r="C13" s="18" t="str">
        <f>[3]Estimate!C39</f>
        <v>Centering and shuttering including strutting, propping etc. and removal of form for all heights : Foundations, footings, bases of columns, etc. for mass concrete</v>
      </c>
      <c r="D13" s="15" t="s">
        <v>20</v>
      </c>
      <c r="E13" s="47">
        <v>284.85000000000002</v>
      </c>
      <c r="F13" s="47">
        <f>[3]Estimate!J42</f>
        <v>100</v>
      </c>
      <c r="G13" s="47">
        <f t="shared" si="0"/>
        <v>28485.000000000004</v>
      </c>
      <c r="H13" s="19"/>
    </row>
    <row r="14" spans="1:8" ht="63" x14ac:dyDescent="0.25">
      <c r="A14" s="44">
        <v>9</v>
      </c>
      <c r="B14" s="44" t="str">
        <f>[3]Estimate!B43</f>
        <v>13.61.1</v>
      </c>
      <c r="C14" s="18" t="s">
        <v>59</v>
      </c>
      <c r="D14" s="15" t="s">
        <v>20</v>
      </c>
      <c r="E14" s="47">
        <v>144.65</v>
      </c>
      <c r="F14" s="47" t="e">
        <f>#REF!</f>
        <v>#REF!</v>
      </c>
      <c r="G14" s="47" t="e">
        <f t="shared" si="0"/>
        <v>#REF!</v>
      </c>
      <c r="H14" s="19"/>
    </row>
    <row r="15" spans="1:8" x14ac:dyDescent="0.25">
      <c r="A15" s="108" t="s">
        <v>43</v>
      </c>
      <c r="B15" s="109"/>
      <c r="C15" s="109"/>
      <c r="D15" s="109"/>
      <c r="E15" s="109"/>
      <c r="F15" s="110"/>
      <c r="G15" s="45" t="e">
        <f>SUM(G6:G14)</f>
        <v>#REF!</v>
      </c>
      <c r="H15" s="19"/>
    </row>
    <row r="16" spans="1:8" ht="18.75" x14ac:dyDescent="0.25">
      <c r="A16" s="111"/>
      <c r="B16" s="112"/>
      <c r="C16" s="112"/>
      <c r="D16" s="112"/>
      <c r="E16" s="112"/>
      <c r="F16" s="113"/>
      <c r="G16" s="49"/>
      <c r="H16" s="19"/>
    </row>
  </sheetData>
  <mergeCells count="5">
    <mergeCell ref="G1:H1"/>
    <mergeCell ref="A2:H3"/>
    <mergeCell ref="A5:H5"/>
    <mergeCell ref="A15:F15"/>
    <mergeCell ref="A16:F16"/>
  </mergeCells>
  <pageMargins left="0.7" right="0.7" top="0.75" bottom="0.75" header="0.3" footer="0.3"/>
  <pageSetup paperSize="9"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1"/>
  <sheetViews>
    <sheetView topLeftCell="A7" workbookViewId="0">
      <selection activeCell="K61" sqref="K61"/>
    </sheetView>
  </sheetViews>
  <sheetFormatPr defaultRowHeight="15" x14ac:dyDescent="0.25"/>
  <cols>
    <col min="2" max="2" width="11.42578125" customWidth="1"/>
    <col min="3" max="3" width="48.140625" customWidth="1"/>
    <col min="10" max="10" width="10.42578125" customWidth="1"/>
    <col min="11" max="11" width="14" customWidth="1"/>
  </cols>
  <sheetData>
    <row r="1" spans="1:11" x14ac:dyDescent="0.25">
      <c r="A1" s="114" t="s">
        <v>82</v>
      </c>
      <c r="B1" s="114"/>
      <c r="C1" s="114"/>
      <c r="D1" s="114"/>
      <c r="E1" s="114"/>
      <c r="F1" s="114"/>
      <c r="G1" s="114"/>
      <c r="H1" s="114"/>
      <c r="I1" s="114"/>
      <c r="J1" s="114"/>
      <c r="K1" s="114"/>
    </row>
    <row r="2" spans="1:11" x14ac:dyDescent="0.25">
      <c r="A2" s="114"/>
      <c r="B2" s="114"/>
      <c r="C2" s="114"/>
      <c r="D2" s="114"/>
      <c r="E2" s="114"/>
      <c r="F2" s="114"/>
      <c r="G2" s="114"/>
      <c r="H2" s="114"/>
      <c r="I2" s="114"/>
      <c r="J2" s="114"/>
      <c r="K2" s="114"/>
    </row>
    <row r="3" spans="1:11" ht="30" x14ac:dyDescent="0.25">
      <c r="A3" s="1" t="s">
        <v>0</v>
      </c>
      <c r="B3" s="2" t="s">
        <v>1</v>
      </c>
      <c r="C3" s="1" t="s">
        <v>2</v>
      </c>
      <c r="D3" s="115" t="s">
        <v>3</v>
      </c>
      <c r="E3" s="116"/>
      <c r="F3" s="117"/>
      <c r="G3" s="3" t="s">
        <v>4</v>
      </c>
      <c r="H3" s="3" t="s">
        <v>5</v>
      </c>
      <c r="I3" s="3" t="s">
        <v>6</v>
      </c>
      <c r="J3" s="4" t="s">
        <v>7</v>
      </c>
      <c r="K3" s="3" t="s">
        <v>8</v>
      </c>
    </row>
    <row r="4" spans="1:11" ht="105" x14ac:dyDescent="0.25">
      <c r="A4" s="15" t="e">
        <f>#REF!</f>
        <v>#REF!</v>
      </c>
      <c r="B4" s="12" t="s">
        <v>13</v>
      </c>
      <c r="C4" s="6" t="s">
        <v>14</v>
      </c>
      <c r="D4" s="19"/>
      <c r="E4" s="19"/>
      <c r="F4" s="19"/>
      <c r="G4" s="19"/>
      <c r="H4" s="19"/>
      <c r="I4" s="19"/>
      <c r="J4" s="19"/>
      <c r="K4" s="19"/>
    </row>
    <row r="5" spans="1:11" x14ac:dyDescent="0.25">
      <c r="A5" s="15"/>
      <c r="B5" s="12"/>
      <c r="C5" s="6" t="s">
        <v>66</v>
      </c>
      <c r="D5" s="12">
        <v>1</v>
      </c>
      <c r="E5" s="11">
        <v>1</v>
      </c>
      <c r="F5" s="11">
        <v>4</v>
      </c>
      <c r="G5" s="11">
        <v>0.75</v>
      </c>
      <c r="H5" s="11">
        <v>0.75</v>
      </c>
      <c r="I5" s="11">
        <v>0.75</v>
      </c>
      <c r="J5" s="11">
        <f>PRODUCT(D5:I5)</f>
        <v>1.6875</v>
      </c>
      <c r="K5" s="15"/>
    </row>
    <row r="6" spans="1:11" x14ac:dyDescent="0.25">
      <c r="A6" s="15"/>
      <c r="B6" s="12"/>
      <c r="C6" s="16"/>
      <c r="D6" s="12"/>
      <c r="E6" s="11"/>
      <c r="F6" s="15"/>
      <c r="G6" s="11"/>
      <c r="H6" s="11"/>
      <c r="I6" s="13" t="s">
        <v>72</v>
      </c>
      <c r="J6" s="11">
        <f>J5</f>
        <v>1.6875</v>
      </c>
      <c r="K6" s="15"/>
    </row>
    <row r="7" spans="1:11" x14ac:dyDescent="0.25">
      <c r="A7" s="15"/>
      <c r="B7" s="12"/>
      <c r="C7" s="16"/>
      <c r="D7" s="12"/>
      <c r="E7" s="11"/>
      <c r="F7" s="15"/>
      <c r="G7" s="11"/>
      <c r="H7" s="11"/>
      <c r="I7" s="13" t="s">
        <v>12</v>
      </c>
      <c r="J7" s="14">
        <f>ROUNDUP(J6,0)</f>
        <v>2</v>
      </c>
      <c r="K7" s="15" t="s">
        <v>15</v>
      </c>
    </row>
    <row r="8" spans="1:11" ht="75" x14ac:dyDescent="0.25">
      <c r="A8" s="20" t="e">
        <f>#REF!</f>
        <v>#REF!</v>
      </c>
      <c r="B8" s="54" t="s">
        <v>54</v>
      </c>
      <c r="C8" s="6" t="s">
        <v>53</v>
      </c>
      <c r="D8" s="21"/>
      <c r="E8" s="21"/>
      <c r="F8" s="21"/>
      <c r="G8" s="22"/>
      <c r="H8" s="23"/>
      <c r="I8" s="23"/>
      <c r="J8" s="24"/>
      <c r="K8" s="25"/>
    </row>
    <row r="9" spans="1:11" ht="30" x14ac:dyDescent="0.25">
      <c r="A9" s="20"/>
      <c r="B9" s="54"/>
      <c r="C9" s="6" t="s">
        <v>55</v>
      </c>
      <c r="D9" s="21"/>
      <c r="E9" s="21"/>
      <c r="F9" s="21"/>
      <c r="G9" s="22"/>
      <c r="H9" s="23"/>
      <c r="I9" s="23"/>
      <c r="J9" s="11"/>
      <c r="K9" s="25"/>
    </row>
    <row r="10" spans="1:11" ht="16.5" x14ac:dyDescent="0.25">
      <c r="A10" s="20"/>
      <c r="B10" s="54"/>
      <c r="C10" s="6" t="s">
        <v>66</v>
      </c>
      <c r="D10" s="12">
        <v>1</v>
      </c>
      <c r="E10" s="11">
        <v>1</v>
      </c>
      <c r="F10" s="11">
        <v>4</v>
      </c>
      <c r="G10" s="11">
        <v>0.75</v>
      </c>
      <c r="H10" s="11">
        <v>0.75</v>
      </c>
      <c r="I10" s="11">
        <v>0.75</v>
      </c>
      <c r="J10" s="11">
        <f>PRODUCT(D10:I10)</f>
        <v>1.6875</v>
      </c>
      <c r="K10" s="15"/>
    </row>
    <row r="11" spans="1:11" ht="16.5" x14ac:dyDescent="0.25">
      <c r="A11" s="20"/>
      <c r="B11" s="54"/>
      <c r="C11" s="16"/>
      <c r="D11" s="12"/>
      <c r="E11" s="11"/>
      <c r="F11" s="15"/>
      <c r="G11" s="11"/>
      <c r="H11" s="11"/>
      <c r="I11" s="13" t="s">
        <v>11</v>
      </c>
      <c r="J11" s="11">
        <f>J10</f>
        <v>1.6875</v>
      </c>
      <c r="K11" s="15"/>
    </row>
    <row r="12" spans="1:11" ht="16.5" x14ac:dyDescent="0.25">
      <c r="A12" s="20"/>
      <c r="B12" s="54"/>
      <c r="C12" s="16"/>
      <c r="D12" s="12"/>
      <c r="E12" s="11"/>
      <c r="F12" s="15"/>
      <c r="G12" s="11"/>
      <c r="H12" s="11"/>
      <c r="I12" s="13" t="s">
        <v>12</v>
      </c>
      <c r="J12" s="14">
        <f>ROUNDUP(J11,0)</f>
        <v>2</v>
      </c>
      <c r="K12" s="15" t="s">
        <v>15</v>
      </c>
    </row>
    <row r="13" spans="1:11" ht="90" x14ac:dyDescent="0.25">
      <c r="A13" s="33" t="e">
        <f>#REF!</f>
        <v>#REF!</v>
      </c>
      <c r="B13" s="12" t="s">
        <v>16</v>
      </c>
      <c r="C13" s="6" t="s">
        <v>17</v>
      </c>
      <c r="D13" s="34"/>
      <c r="E13" s="34"/>
      <c r="F13" s="21"/>
      <c r="G13" s="22"/>
      <c r="H13" s="33"/>
      <c r="I13" s="33"/>
      <c r="J13" s="11"/>
      <c r="K13" s="23"/>
    </row>
    <row r="14" spans="1:11" ht="15.75" x14ac:dyDescent="0.25">
      <c r="A14" s="33"/>
      <c r="B14" s="54"/>
      <c r="C14" s="6" t="s">
        <v>56</v>
      </c>
      <c r="D14" s="34">
        <v>1</v>
      </c>
      <c r="E14" s="34">
        <v>1</v>
      </c>
      <c r="F14" s="21">
        <v>1</v>
      </c>
      <c r="G14" s="11">
        <f>11.3</f>
        <v>11.3</v>
      </c>
      <c r="H14" s="11">
        <f>5.4+1</f>
        <v>6.4</v>
      </c>
      <c r="I14" s="11">
        <v>0.1</v>
      </c>
      <c r="J14" s="11">
        <f>PRODUCT(E14:I14)</f>
        <v>7.2320000000000011</v>
      </c>
      <c r="K14" s="23"/>
    </row>
    <row r="15" spans="1:11" ht="15.75" x14ac:dyDescent="0.25">
      <c r="A15" s="33"/>
      <c r="B15" s="54"/>
      <c r="C15" s="6" t="s">
        <v>67</v>
      </c>
      <c r="D15" s="34">
        <v>1</v>
      </c>
      <c r="E15" s="34">
        <v>1</v>
      </c>
      <c r="F15" s="21">
        <v>1</v>
      </c>
      <c r="G15" s="11">
        <v>23</v>
      </c>
      <c r="H15" s="11">
        <v>11.8</v>
      </c>
      <c r="I15" s="11">
        <v>0.1</v>
      </c>
      <c r="J15" s="11">
        <f>PRODUCT(E15:I15)</f>
        <v>27.140000000000004</v>
      </c>
      <c r="K15" s="23"/>
    </row>
    <row r="16" spans="1:11" ht="15.75" x14ac:dyDescent="0.25">
      <c r="A16" s="33"/>
      <c r="B16" s="54"/>
      <c r="C16" s="6" t="s">
        <v>68</v>
      </c>
      <c r="D16" s="34">
        <v>1</v>
      </c>
      <c r="E16" s="34">
        <v>1</v>
      </c>
      <c r="F16" s="21">
        <v>1</v>
      </c>
      <c r="G16" s="11">
        <v>7</v>
      </c>
      <c r="H16" s="11">
        <v>1.3</v>
      </c>
      <c r="I16" s="11">
        <v>0.15</v>
      </c>
      <c r="J16" s="11">
        <f>PRODUCT(E16:I16)</f>
        <v>1.365</v>
      </c>
      <c r="K16" s="23"/>
    </row>
    <row r="17" spans="1:11" ht="15.75" x14ac:dyDescent="0.25">
      <c r="A17" s="33"/>
      <c r="B17" s="30"/>
      <c r="C17" s="36"/>
      <c r="D17" s="29"/>
      <c r="E17" s="29"/>
      <c r="F17" s="29"/>
      <c r="G17" s="22"/>
      <c r="H17" s="22"/>
      <c r="I17" s="13" t="s">
        <v>11</v>
      </c>
      <c r="J17" s="11">
        <f>SUM(J14:J16)</f>
        <v>35.737000000000009</v>
      </c>
      <c r="K17" s="32"/>
    </row>
    <row r="18" spans="1:11" ht="15.75" x14ac:dyDescent="0.25">
      <c r="A18" s="33"/>
      <c r="B18" s="30"/>
      <c r="C18" s="31"/>
      <c r="D18" s="29"/>
      <c r="E18" s="29"/>
      <c r="F18" s="29"/>
      <c r="G18" s="22"/>
      <c r="H18" s="22"/>
      <c r="I18" s="13" t="s">
        <v>12</v>
      </c>
      <c r="J18" s="14">
        <f>ROUNDUP(J17,0)</f>
        <v>36</v>
      </c>
      <c r="K18" s="32" t="s">
        <v>15</v>
      </c>
    </row>
    <row r="19" spans="1:11" ht="60" x14ac:dyDescent="0.25">
      <c r="A19" s="33" t="e">
        <f>#REF!</f>
        <v>#REF!</v>
      </c>
      <c r="B19" s="12" t="s">
        <v>18</v>
      </c>
      <c r="C19" s="6" t="s">
        <v>19</v>
      </c>
      <c r="D19" s="29"/>
      <c r="E19" s="29"/>
      <c r="F19" s="29"/>
      <c r="G19" s="22"/>
      <c r="H19" s="22"/>
      <c r="I19" s="22"/>
      <c r="J19" s="22"/>
      <c r="K19" s="32"/>
    </row>
    <row r="20" spans="1:11" ht="15.75" x14ac:dyDescent="0.25">
      <c r="A20" s="33"/>
      <c r="B20" s="12"/>
      <c r="C20" s="6" t="s">
        <v>69</v>
      </c>
      <c r="D20" s="29">
        <v>1</v>
      </c>
      <c r="E20" s="29">
        <v>1</v>
      </c>
      <c r="F20" s="29">
        <v>1</v>
      </c>
      <c r="G20" s="29">
        <f>11.3*2+6.4</f>
        <v>29</v>
      </c>
      <c r="H20" s="29"/>
      <c r="I20" s="55">
        <v>0.1</v>
      </c>
      <c r="J20" s="11">
        <f>PRODUCT(D20:I20)</f>
        <v>2.9000000000000004</v>
      </c>
      <c r="K20" s="32"/>
    </row>
    <row r="21" spans="1:11" ht="15.75" x14ac:dyDescent="0.25">
      <c r="A21" s="33"/>
      <c r="B21" s="12"/>
      <c r="C21" s="6" t="s">
        <v>67</v>
      </c>
      <c r="D21" s="29">
        <v>1</v>
      </c>
      <c r="E21" s="29">
        <v>1</v>
      </c>
      <c r="F21" s="29">
        <v>1</v>
      </c>
      <c r="G21" s="29">
        <f>23*2+11.8*2</f>
        <v>69.599999999999994</v>
      </c>
      <c r="H21" s="29"/>
      <c r="I21" s="55">
        <v>0.1</v>
      </c>
      <c r="J21" s="11">
        <f>PRODUCT(D21:I21)</f>
        <v>6.96</v>
      </c>
      <c r="K21" s="32"/>
    </row>
    <row r="22" spans="1:11" ht="15.75" x14ac:dyDescent="0.25">
      <c r="A22" s="33"/>
      <c r="B22" s="12"/>
      <c r="C22" s="6" t="s">
        <v>70</v>
      </c>
      <c r="D22" s="29">
        <v>1</v>
      </c>
      <c r="E22" s="29">
        <v>1</v>
      </c>
      <c r="F22" s="29">
        <v>1</v>
      </c>
      <c r="G22" s="29">
        <v>7</v>
      </c>
      <c r="H22" s="55">
        <v>1.1000000000000001</v>
      </c>
      <c r="I22" s="55"/>
      <c r="J22" s="11">
        <f>PRODUCT(D22:I22)</f>
        <v>7.7000000000000011</v>
      </c>
      <c r="K22" s="32"/>
    </row>
    <row r="23" spans="1:11" ht="15.75" x14ac:dyDescent="0.25">
      <c r="A23" s="33"/>
      <c r="B23" s="12"/>
      <c r="C23" s="6" t="s">
        <v>71</v>
      </c>
      <c r="D23" s="29">
        <v>1</v>
      </c>
      <c r="E23" s="29">
        <v>1</v>
      </c>
      <c r="F23" s="29">
        <v>1</v>
      </c>
      <c r="G23" s="55">
        <f>1.1*2</f>
        <v>2.2000000000000002</v>
      </c>
      <c r="H23" s="29"/>
      <c r="I23" s="55">
        <v>0.15</v>
      </c>
      <c r="J23" s="11">
        <f>PRODUCT(D23:I23)</f>
        <v>0.33</v>
      </c>
      <c r="K23" s="32"/>
    </row>
    <row r="24" spans="1:11" ht="15.75" x14ac:dyDescent="0.25">
      <c r="A24" s="33"/>
      <c r="B24" s="30"/>
      <c r="C24" s="35"/>
      <c r="D24" s="29"/>
      <c r="E24" s="29"/>
      <c r="F24" s="29"/>
      <c r="G24" s="22"/>
      <c r="H24" s="22"/>
      <c r="I24" s="13" t="s">
        <v>11</v>
      </c>
      <c r="J24" s="14">
        <f>SUM(J20:J23)</f>
        <v>17.89</v>
      </c>
      <c r="K24" s="33"/>
    </row>
    <row r="25" spans="1:11" ht="15.75" x14ac:dyDescent="0.25">
      <c r="A25" s="33"/>
      <c r="B25" s="30"/>
      <c r="C25" s="35"/>
      <c r="D25" s="29"/>
      <c r="E25" s="29"/>
      <c r="F25" s="29"/>
      <c r="G25" s="22"/>
      <c r="H25" s="22"/>
      <c r="I25" s="13" t="s">
        <v>12</v>
      </c>
      <c r="J25" s="14">
        <f>ROUNDUP(J24,0)</f>
        <v>18</v>
      </c>
      <c r="K25" s="33" t="s">
        <v>20</v>
      </c>
    </row>
    <row r="26" spans="1:11" ht="60" x14ac:dyDescent="0.25">
      <c r="A26" s="33" t="e">
        <f>#REF!</f>
        <v>#REF!</v>
      </c>
      <c r="B26" s="12" t="s">
        <v>21</v>
      </c>
      <c r="C26" s="16" t="s">
        <v>22</v>
      </c>
      <c r="D26" s="29"/>
      <c r="E26" s="29"/>
      <c r="F26" s="29"/>
      <c r="G26" s="22"/>
      <c r="H26" s="22"/>
      <c r="I26" s="22"/>
      <c r="J26" s="22"/>
      <c r="K26" s="32"/>
    </row>
    <row r="27" spans="1:11" ht="15.75" x14ac:dyDescent="0.25">
      <c r="A27" s="33"/>
      <c r="B27" s="12"/>
      <c r="C27" s="6" t="s">
        <v>85</v>
      </c>
      <c r="D27" s="29">
        <v>1</v>
      </c>
      <c r="E27" s="29">
        <v>1</v>
      </c>
      <c r="F27" s="29">
        <v>35</v>
      </c>
      <c r="G27" s="22">
        <f>J18</f>
        <v>36</v>
      </c>
      <c r="H27" s="22"/>
      <c r="I27" s="22"/>
      <c r="J27" s="11">
        <f>PRODUCT(D27:I27)</f>
        <v>1260</v>
      </c>
      <c r="K27" s="32"/>
    </row>
    <row r="28" spans="1:11" ht="15.75" x14ac:dyDescent="0.25">
      <c r="A28" s="33"/>
      <c r="B28" s="30"/>
      <c r="C28" s="31"/>
      <c r="D28" s="29"/>
      <c r="E28" s="29"/>
      <c r="F28" s="29"/>
      <c r="G28" s="22"/>
      <c r="H28" s="22"/>
      <c r="I28" s="13" t="s">
        <v>11</v>
      </c>
      <c r="J28" s="14">
        <f>SUM(J26:J27)</f>
        <v>1260</v>
      </c>
      <c r="K28" s="32"/>
    </row>
    <row r="29" spans="1:11" ht="15.75" x14ac:dyDescent="0.25">
      <c r="A29" s="33"/>
      <c r="B29" s="30"/>
      <c r="C29" s="31"/>
      <c r="D29" s="29"/>
      <c r="E29" s="29"/>
      <c r="F29" s="29"/>
      <c r="G29" s="22"/>
      <c r="H29" s="22"/>
      <c r="I29" s="13" t="s">
        <v>12</v>
      </c>
      <c r="J29" s="14">
        <f>ROUNDUP(J28,0)</f>
        <v>1260</v>
      </c>
      <c r="K29" s="32" t="s">
        <v>23</v>
      </c>
    </row>
    <row r="30" spans="1:11" ht="75" x14ac:dyDescent="0.25">
      <c r="A30" s="5" t="e">
        <f>#REF!</f>
        <v>#REF!</v>
      </c>
      <c r="B30" s="6">
        <v>10.25</v>
      </c>
      <c r="C30" s="6" t="s">
        <v>45</v>
      </c>
      <c r="D30" s="7"/>
      <c r="E30" s="8"/>
      <c r="F30" s="9"/>
      <c r="G30" s="3"/>
      <c r="H30" s="3"/>
      <c r="I30" s="3"/>
      <c r="J30" s="4"/>
      <c r="K30" s="3"/>
    </row>
    <row r="31" spans="1:11" ht="30" x14ac:dyDescent="0.25">
      <c r="A31" s="1"/>
      <c r="B31" s="6" t="s">
        <v>46</v>
      </c>
      <c r="C31" s="6" t="s">
        <v>47</v>
      </c>
      <c r="D31" s="11"/>
      <c r="E31" s="50"/>
      <c r="F31" s="11"/>
      <c r="G31" s="11"/>
      <c r="H31" s="12"/>
      <c r="I31" s="50"/>
      <c r="J31" s="11"/>
      <c r="K31" s="3"/>
    </row>
    <row r="32" spans="1:11" ht="30" x14ac:dyDescent="0.25">
      <c r="A32" s="12"/>
      <c r="B32" s="12"/>
      <c r="C32" s="6" t="s">
        <v>48</v>
      </c>
      <c r="D32" s="12">
        <v>1</v>
      </c>
      <c r="E32" s="12">
        <v>1</v>
      </c>
      <c r="F32" s="11">
        <f>4</f>
        <v>4</v>
      </c>
      <c r="G32" s="15">
        <f>3.5+0.75</f>
        <v>4.25</v>
      </c>
      <c r="H32" s="11"/>
      <c r="I32" s="10">
        <v>7.22</v>
      </c>
      <c r="J32" s="11">
        <f t="shared" ref="J32:J38" si="0">PRODUCT(D32:I32)</f>
        <v>122.74</v>
      </c>
      <c r="K32" s="15"/>
    </row>
    <row r="33" spans="1:12" x14ac:dyDescent="0.25">
      <c r="A33" s="12"/>
      <c r="B33" s="12"/>
      <c r="C33" s="6" t="s">
        <v>49</v>
      </c>
      <c r="D33" s="12">
        <v>1</v>
      </c>
      <c r="E33" s="11">
        <v>7850</v>
      </c>
      <c r="F33" s="11">
        <f>F32</f>
        <v>4</v>
      </c>
      <c r="G33" s="15">
        <v>0.2</v>
      </c>
      <c r="H33" s="11">
        <v>0.2</v>
      </c>
      <c r="I33" s="12">
        <v>0.01</v>
      </c>
      <c r="J33" s="11">
        <f t="shared" si="0"/>
        <v>12.56</v>
      </c>
      <c r="K33" s="15"/>
    </row>
    <row r="34" spans="1:12" x14ac:dyDescent="0.25">
      <c r="A34" s="12"/>
      <c r="B34" s="12"/>
      <c r="C34" s="6" t="s">
        <v>61</v>
      </c>
      <c r="D34" s="12">
        <v>1</v>
      </c>
      <c r="E34" s="11">
        <v>7850</v>
      </c>
      <c r="F34" s="11">
        <f>4+4</f>
        <v>8</v>
      </c>
      <c r="G34" s="15">
        <v>0.1</v>
      </c>
      <c r="H34" s="11">
        <v>0.1</v>
      </c>
      <c r="I34" s="12">
        <v>0.01</v>
      </c>
      <c r="J34" s="11">
        <f t="shared" si="0"/>
        <v>6.28</v>
      </c>
      <c r="K34" s="15"/>
    </row>
    <row r="35" spans="1:12" ht="30" x14ac:dyDescent="0.25">
      <c r="A35" s="12"/>
      <c r="B35" s="12"/>
      <c r="C35" s="6" t="s">
        <v>62</v>
      </c>
      <c r="D35" s="12">
        <v>1</v>
      </c>
      <c r="E35" s="12">
        <v>1</v>
      </c>
      <c r="F35" s="11">
        <v>4</v>
      </c>
      <c r="G35" s="12">
        <f>5.4+1+1</f>
        <v>7.4</v>
      </c>
      <c r="H35" s="11"/>
      <c r="I35" s="12">
        <v>4.3899999999999997</v>
      </c>
      <c r="J35" s="11">
        <f t="shared" si="0"/>
        <v>129.94399999999999</v>
      </c>
      <c r="K35" s="15"/>
    </row>
    <row r="36" spans="1:12" ht="30" x14ac:dyDescent="0.25">
      <c r="A36" s="12"/>
      <c r="B36" s="12"/>
      <c r="C36" s="6" t="s">
        <v>63</v>
      </c>
      <c r="D36" s="12">
        <v>1</v>
      </c>
      <c r="E36" s="12">
        <v>1</v>
      </c>
      <c r="F36" s="11">
        <v>4</v>
      </c>
      <c r="G36" s="12">
        <f>11.3+2.5</f>
        <v>13.8</v>
      </c>
      <c r="H36" s="11"/>
      <c r="I36" s="12">
        <v>4.3899999999999997</v>
      </c>
      <c r="J36" s="11">
        <f t="shared" si="0"/>
        <v>242.328</v>
      </c>
      <c r="K36" s="15"/>
    </row>
    <row r="37" spans="1:12" ht="30" x14ac:dyDescent="0.25">
      <c r="A37" s="12"/>
      <c r="B37" s="12"/>
      <c r="C37" s="6" t="s">
        <v>64</v>
      </c>
      <c r="D37" s="12">
        <v>1</v>
      </c>
      <c r="E37" s="12">
        <v>1</v>
      </c>
      <c r="F37" s="11">
        <v>3</v>
      </c>
      <c r="G37" s="12">
        <f>G35</f>
        <v>7.4</v>
      </c>
      <c r="H37" s="11"/>
      <c r="I37" s="12">
        <v>2.04</v>
      </c>
      <c r="J37" s="11">
        <f t="shared" si="0"/>
        <v>45.288000000000004</v>
      </c>
      <c r="K37" s="15"/>
    </row>
    <row r="38" spans="1:12" ht="30" x14ac:dyDescent="0.25">
      <c r="A38" s="12"/>
      <c r="B38" s="12"/>
      <c r="C38" s="6" t="s">
        <v>65</v>
      </c>
      <c r="D38" s="12">
        <v>1</v>
      </c>
      <c r="E38" s="12">
        <v>1</v>
      </c>
      <c r="F38" s="11">
        <v>4</v>
      </c>
      <c r="G38" s="12">
        <f>11.3+2.5</f>
        <v>13.8</v>
      </c>
      <c r="H38" s="11"/>
      <c r="I38" s="12">
        <v>2.04</v>
      </c>
      <c r="J38" s="11">
        <f t="shared" si="0"/>
        <v>112.608</v>
      </c>
      <c r="K38" s="15"/>
    </row>
    <row r="39" spans="1:12" x14ac:dyDescent="0.25">
      <c r="A39" s="12"/>
      <c r="B39" s="12"/>
      <c r="C39" s="6"/>
      <c r="D39" s="12"/>
      <c r="E39" s="11"/>
      <c r="F39" s="12"/>
      <c r="G39" s="11"/>
      <c r="H39" s="11"/>
      <c r="I39" s="13" t="s">
        <v>72</v>
      </c>
      <c r="J39" s="14">
        <f>SUM(J32:J38)</f>
        <v>671.74800000000005</v>
      </c>
      <c r="K39" s="15"/>
    </row>
    <row r="40" spans="1:12" x14ac:dyDescent="0.25">
      <c r="A40" s="12"/>
      <c r="B40" s="12"/>
      <c r="C40" s="6"/>
      <c r="D40" s="12"/>
      <c r="E40" s="11"/>
      <c r="F40" s="12"/>
      <c r="G40" s="11"/>
      <c r="H40" s="11"/>
      <c r="I40" s="13" t="s">
        <v>12</v>
      </c>
      <c r="J40" s="52">
        <f>ROUNDUP(J39,0)</f>
        <v>672</v>
      </c>
      <c r="K40" s="45" t="s">
        <v>23</v>
      </c>
    </row>
    <row r="41" spans="1:12" x14ac:dyDescent="0.25">
      <c r="A41" s="12"/>
      <c r="B41" s="12"/>
      <c r="C41" s="6"/>
      <c r="D41" s="12"/>
      <c r="E41" s="11"/>
      <c r="F41" s="12"/>
      <c r="G41" s="11"/>
      <c r="H41" s="11"/>
      <c r="I41" s="13"/>
      <c r="J41" s="14"/>
      <c r="K41" s="15"/>
    </row>
    <row r="42" spans="1:12" ht="255" x14ac:dyDescent="0.25">
      <c r="A42" s="12" t="e">
        <f>#REF!</f>
        <v>#REF!</v>
      </c>
      <c r="B42" s="30">
        <v>12.5</v>
      </c>
      <c r="C42" s="6" t="s">
        <v>51</v>
      </c>
      <c r="D42" s="12"/>
      <c r="E42" s="11"/>
      <c r="F42" s="15"/>
      <c r="G42" s="11"/>
      <c r="H42" s="11"/>
      <c r="I42" s="12"/>
      <c r="J42" s="11"/>
      <c r="K42" s="15"/>
    </row>
    <row r="43" spans="1:12" x14ac:dyDescent="0.25">
      <c r="A43" s="12"/>
      <c r="B43" s="12"/>
      <c r="C43" s="53" t="s">
        <v>52</v>
      </c>
      <c r="D43" s="11">
        <v>1</v>
      </c>
      <c r="E43" s="11">
        <v>1</v>
      </c>
      <c r="F43" s="11">
        <v>1</v>
      </c>
      <c r="G43" s="11">
        <f>11.3+2.5</f>
        <v>13.8</v>
      </c>
      <c r="H43" s="11">
        <f>5.4+1+1</f>
        <v>7.4</v>
      </c>
      <c r="I43" s="12"/>
      <c r="J43" s="11">
        <f>PRODUCT(D43:I43)</f>
        <v>102.12</v>
      </c>
      <c r="K43" s="15"/>
    </row>
    <row r="44" spans="1:12" x14ac:dyDescent="0.25">
      <c r="A44" s="12"/>
      <c r="B44" s="12"/>
      <c r="C44" s="6"/>
      <c r="D44" s="12"/>
      <c r="E44" s="11"/>
      <c r="F44" s="15"/>
      <c r="G44" s="11"/>
      <c r="H44" s="11"/>
      <c r="I44" s="13" t="s">
        <v>50</v>
      </c>
      <c r="J44" s="14">
        <f>J43</f>
        <v>102.12</v>
      </c>
      <c r="K44" s="15"/>
    </row>
    <row r="45" spans="1:12" x14ac:dyDescent="0.25">
      <c r="A45" s="12"/>
      <c r="B45" s="12"/>
      <c r="C45" s="6"/>
      <c r="D45" s="12"/>
      <c r="E45" s="11"/>
      <c r="F45" s="15"/>
      <c r="G45" s="11"/>
      <c r="H45" s="11"/>
      <c r="I45" s="13" t="s">
        <v>12</v>
      </c>
      <c r="J45" s="14">
        <f>ROUNDUP(J44,0)</f>
        <v>103</v>
      </c>
      <c r="K45" s="15" t="s">
        <v>20</v>
      </c>
    </row>
    <row r="46" spans="1:12" x14ac:dyDescent="0.25">
      <c r="A46" s="15"/>
      <c r="B46" s="12"/>
      <c r="C46" s="6"/>
      <c r="D46" s="19"/>
      <c r="E46" s="19"/>
      <c r="F46" s="19"/>
      <c r="G46" s="19"/>
      <c r="H46" s="19"/>
      <c r="I46" s="19"/>
      <c r="J46" s="19"/>
      <c r="K46" s="19"/>
    </row>
    <row r="47" spans="1:12" ht="30" x14ac:dyDescent="0.25">
      <c r="A47" s="33" t="e">
        <f>#REF!</f>
        <v>#REF!</v>
      </c>
      <c r="B47" s="36" t="s">
        <v>30</v>
      </c>
      <c r="C47" s="6" t="s">
        <v>31</v>
      </c>
      <c r="D47" s="29"/>
      <c r="E47" s="29"/>
      <c r="F47" s="29"/>
      <c r="G47" s="22"/>
      <c r="H47" s="22"/>
      <c r="I47" s="19"/>
      <c r="J47" s="19"/>
      <c r="K47" s="32"/>
    </row>
    <row r="48" spans="1:12" ht="15.75" x14ac:dyDescent="0.25">
      <c r="A48" s="38"/>
      <c r="B48" s="36" t="s">
        <v>32</v>
      </c>
      <c r="C48" s="36" t="s">
        <v>33</v>
      </c>
      <c r="D48" s="29"/>
      <c r="E48" s="29"/>
      <c r="F48" s="29"/>
      <c r="G48" s="22"/>
      <c r="H48" s="22"/>
      <c r="I48" s="22"/>
      <c r="J48" s="40"/>
      <c r="K48" s="41"/>
      <c r="L48" s="42"/>
    </row>
    <row r="49" spans="1:12" ht="30" x14ac:dyDescent="0.25">
      <c r="A49" s="38"/>
      <c r="B49" s="39"/>
      <c r="C49" s="6" t="s">
        <v>48</v>
      </c>
      <c r="D49" s="12">
        <v>1</v>
      </c>
      <c r="E49" s="12">
        <v>1</v>
      </c>
      <c r="F49" s="11">
        <f>4</f>
        <v>4</v>
      </c>
      <c r="G49" s="15">
        <f>3.5+0.75</f>
        <v>4.25</v>
      </c>
      <c r="H49" s="11"/>
      <c r="I49" s="10">
        <f>0.08*4</f>
        <v>0.32</v>
      </c>
      <c r="J49" s="11">
        <f t="shared" ref="J49:J55" si="1">PRODUCT(D49:I49)</f>
        <v>5.44</v>
      </c>
      <c r="K49" s="15"/>
      <c r="L49" s="42"/>
    </row>
    <row r="50" spans="1:12" x14ac:dyDescent="0.25">
      <c r="A50" s="38"/>
      <c r="B50" s="39"/>
      <c r="C50" s="6" t="s">
        <v>49</v>
      </c>
      <c r="D50" s="12">
        <v>1</v>
      </c>
      <c r="E50" s="11">
        <v>1</v>
      </c>
      <c r="F50" s="11">
        <f>F49</f>
        <v>4</v>
      </c>
      <c r="G50" s="15">
        <v>0.2</v>
      </c>
      <c r="H50" s="11">
        <v>0.2</v>
      </c>
      <c r="I50" s="12"/>
      <c r="J50" s="11">
        <f t="shared" si="1"/>
        <v>0.16000000000000003</v>
      </c>
      <c r="K50" s="15"/>
      <c r="L50" s="42"/>
    </row>
    <row r="51" spans="1:12" x14ac:dyDescent="0.25">
      <c r="A51" s="38"/>
      <c r="B51" s="39"/>
      <c r="C51" s="6" t="s">
        <v>61</v>
      </c>
      <c r="D51" s="12">
        <v>1</v>
      </c>
      <c r="E51" s="11">
        <v>1</v>
      </c>
      <c r="F51" s="11">
        <f>8*2</f>
        <v>16</v>
      </c>
      <c r="G51" s="15">
        <v>0.1</v>
      </c>
      <c r="H51" s="11">
        <v>0.1</v>
      </c>
      <c r="I51" s="12"/>
      <c r="J51" s="11">
        <f t="shared" si="1"/>
        <v>0.16000000000000003</v>
      </c>
      <c r="K51" s="15"/>
      <c r="L51" s="42"/>
    </row>
    <row r="52" spans="1:12" ht="30" x14ac:dyDescent="0.25">
      <c r="A52" s="38"/>
      <c r="B52" s="39"/>
      <c r="C52" s="6" t="s">
        <v>62</v>
      </c>
      <c r="D52" s="12">
        <v>1</v>
      </c>
      <c r="E52" s="12">
        <v>1</v>
      </c>
      <c r="F52" s="11">
        <v>4</v>
      </c>
      <c r="G52" s="12">
        <v>7.4</v>
      </c>
      <c r="H52" s="11"/>
      <c r="I52" s="12">
        <f>0.05*4</f>
        <v>0.2</v>
      </c>
      <c r="J52" s="11">
        <f t="shared" si="1"/>
        <v>5.9200000000000008</v>
      </c>
      <c r="K52" s="15"/>
      <c r="L52" s="42"/>
    </row>
    <row r="53" spans="1:12" ht="30" x14ac:dyDescent="0.25">
      <c r="A53" s="38"/>
      <c r="B53" s="39"/>
      <c r="C53" s="6" t="s">
        <v>63</v>
      </c>
      <c r="D53" s="12">
        <v>1</v>
      </c>
      <c r="E53" s="12">
        <v>1</v>
      </c>
      <c r="F53" s="11">
        <v>4</v>
      </c>
      <c r="G53" s="12">
        <f>11.3+2.5</f>
        <v>13.8</v>
      </c>
      <c r="H53" s="11"/>
      <c r="I53" s="12">
        <f>0.05*4</f>
        <v>0.2</v>
      </c>
      <c r="J53" s="11">
        <f t="shared" si="1"/>
        <v>11.040000000000001</v>
      </c>
      <c r="K53" s="15"/>
      <c r="L53" s="42"/>
    </row>
    <row r="54" spans="1:12" ht="30" x14ac:dyDescent="0.25">
      <c r="A54" s="38"/>
      <c r="B54" s="39"/>
      <c r="C54" s="6" t="s">
        <v>64</v>
      </c>
      <c r="D54" s="12">
        <v>1</v>
      </c>
      <c r="E54" s="12">
        <v>1</v>
      </c>
      <c r="F54" s="11">
        <v>3</v>
      </c>
      <c r="G54" s="12">
        <f>G52</f>
        <v>7.4</v>
      </c>
      <c r="H54" s="11"/>
      <c r="I54" s="12">
        <f>0.025*4</f>
        <v>0.1</v>
      </c>
      <c r="J54" s="11">
        <f t="shared" si="1"/>
        <v>2.2200000000000002</v>
      </c>
      <c r="K54" s="15"/>
      <c r="L54" s="42"/>
    </row>
    <row r="55" spans="1:12" ht="30" x14ac:dyDescent="0.25">
      <c r="A55" s="38"/>
      <c r="B55" s="39"/>
      <c r="C55" s="6" t="s">
        <v>65</v>
      </c>
      <c r="D55" s="12">
        <v>1</v>
      </c>
      <c r="E55" s="12">
        <v>1</v>
      </c>
      <c r="F55" s="11">
        <v>4</v>
      </c>
      <c r="G55" s="12">
        <f>11.3+2.5</f>
        <v>13.8</v>
      </c>
      <c r="H55" s="11"/>
      <c r="I55" s="12">
        <f>0.025*4</f>
        <v>0.1</v>
      </c>
      <c r="J55" s="11">
        <f t="shared" si="1"/>
        <v>5.5200000000000005</v>
      </c>
      <c r="K55" s="15"/>
      <c r="L55" s="42"/>
    </row>
    <row r="56" spans="1:12" x14ac:dyDescent="0.25">
      <c r="A56" s="38"/>
      <c r="B56" s="39"/>
      <c r="C56" s="6"/>
      <c r="D56" s="12"/>
      <c r="E56" s="11"/>
      <c r="F56" s="12"/>
      <c r="G56" s="11"/>
      <c r="H56" s="11"/>
      <c r="I56" s="13" t="s">
        <v>72</v>
      </c>
      <c r="J56" s="14">
        <f>SUM(J49:J55)</f>
        <v>30.46</v>
      </c>
      <c r="K56" s="15"/>
      <c r="L56" s="42"/>
    </row>
    <row r="57" spans="1:12" x14ac:dyDescent="0.25">
      <c r="A57" s="38"/>
      <c r="B57" s="39"/>
      <c r="C57" s="6"/>
      <c r="D57" s="12"/>
      <c r="E57" s="11"/>
      <c r="F57" s="12"/>
      <c r="G57" s="11"/>
      <c r="H57" s="11"/>
      <c r="I57" s="13" t="s">
        <v>12</v>
      </c>
      <c r="J57" s="52">
        <f>ROUNDUP(J56,0)</f>
        <v>31</v>
      </c>
      <c r="K57" s="15" t="s">
        <v>20</v>
      </c>
      <c r="L57" s="42"/>
    </row>
    <row r="58" spans="1:12" ht="90" x14ac:dyDescent="0.25">
      <c r="A58" s="12" t="e">
        <f>#REF!</f>
        <v>#REF!</v>
      </c>
      <c r="B58" s="6" t="s">
        <v>9</v>
      </c>
      <c r="C58" s="6" t="s">
        <v>84</v>
      </c>
      <c r="D58" s="12"/>
      <c r="E58" s="11"/>
      <c r="F58" s="15"/>
      <c r="G58" s="11"/>
      <c r="H58" s="11"/>
      <c r="I58" s="12"/>
      <c r="J58" s="11"/>
      <c r="K58" s="15"/>
    </row>
    <row r="59" spans="1:12" x14ac:dyDescent="0.25">
      <c r="A59" s="12"/>
      <c r="B59" s="2"/>
      <c r="C59" s="6" t="s">
        <v>66</v>
      </c>
      <c r="D59" s="12">
        <v>1</v>
      </c>
      <c r="E59" s="11">
        <v>1</v>
      </c>
      <c r="F59" s="11">
        <v>4</v>
      </c>
      <c r="G59" s="11">
        <v>0.75</v>
      </c>
      <c r="H59" s="11">
        <v>0.75</v>
      </c>
      <c r="I59" s="11">
        <v>0.1</v>
      </c>
      <c r="J59" s="11">
        <f>PRODUCT(D59:I59)</f>
        <v>0.22500000000000001</v>
      </c>
      <c r="K59" s="15"/>
    </row>
    <row r="60" spans="1:12" x14ac:dyDescent="0.25">
      <c r="A60" s="17"/>
      <c r="B60" s="12"/>
      <c r="C60" s="16"/>
      <c r="D60" s="12"/>
      <c r="E60" s="11"/>
      <c r="F60" s="15"/>
      <c r="G60" s="11"/>
      <c r="H60" s="11"/>
      <c r="I60" s="13" t="s">
        <v>11</v>
      </c>
      <c r="J60" s="11">
        <f>J59</f>
        <v>0.22500000000000001</v>
      </c>
      <c r="K60" s="15"/>
    </row>
    <row r="61" spans="1:12" x14ac:dyDescent="0.25">
      <c r="A61" s="17"/>
      <c r="B61" s="12"/>
      <c r="C61" s="16"/>
      <c r="D61" s="12"/>
      <c r="E61" s="11"/>
      <c r="F61" s="15"/>
      <c r="G61" s="11"/>
      <c r="H61" s="11"/>
      <c r="I61" s="13" t="s">
        <v>12</v>
      </c>
      <c r="J61" s="14">
        <v>0.25</v>
      </c>
      <c r="K61" s="15" t="s">
        <v>15</v>
      </c>
    </row>
    <row r="62" spans="1:12" x14ac:dyDescent="0.25">
      <c r="A62" s="38"/>
      <c r="B62" s="39"/>
      <c r="C62" s="6"/>
      <c r="D62" s="12"/>
      <c r="E62" s="12"/>
      <c r="F62" s="11"/>
      <c r="G62" s="15"/>
      <c r="H62" s="11"/>
      <c r="I62" s="10"/>
      <c r="J62" s="11"/>
      <c r="K62" s="15"/>
      <c r="L62" s="42"/>
    </row>
    <row r="63" spans="1:12" ht="15.75" x14ac:dyDescent="0.25">
      <c r="A63" s="33"/>
      <c r="B63" s="30"/>
      <c r="C63" s="6"/>
      <c r="D63" s="12"/>
      <c r="E63" s="12"/>
      <c r="F63" s="11"/>
      <c r="G63" s="12"/>
      <c r="H63" s="11"/>
      <c r="I63" s="12"/>
      <c r="J63" s="11"/>
      <c r="K63" s="15"/>
      <c r="L63" s="42"/>
    </row>
    <row r="64" spans="1:12" ht="15.75" x14ac:dyDescent="0.25">
      <c r="A64" s="33"/>
      <c r="B64" s="30"/>
      <c r="C64" s="6"/>
      <c r="D64" s="12"/>
      <c r="E64" s="12"/>
      <c r="F64" s="11"/>
      <c r="G64" s="12"/>
      <c r="H64" s="11"/>
      <c r="I64" s="12"/>
      <c r="J64" s="11"/>
      <c r="K64" s="15"/>
      <c r="L64" s="42"/>
    </row>
    <row r="65" spans="1:12" ht="15.75" x14ac:dyDescent="0.25">
      <c r="A65" s="33"/>
      <c r="B65" s="30"/>
      <c r="C65" s="6"/>
      <c r="D65" s="12"/>
      <c r="E65" s="12"/>
      <c r="F65" s="11"/>
      <c r="G65" s="15"/>
      <c r="H65" s="11"/>
      <c r="I65" s="12"/>
      <c r="J65" s="11"/>
      <c r="K65" s="15"/>
      <c r="L65" s="42"/>
    </row>
    <row r="66" spans="1:12" x14ac:dyDescent="0.25">
      <c r="A66" s="27"/>
      <c r="B66" s="28"/>
      <c r="C66" s="6"/>
      <c r="D66" s="12"/>
      <c r="E66" s="11"/>
      <c r="F66" s="12"/>
      <c r="G66" s="11"/>
      <c r="H66" s="11"/>
      <c r="I66" s="12"/>
      <c r="J66" s="11"/>
      <c r="K66" s="19"/>
      <c r="L66" s="42"/>
    </row>
    <row r="67" spans="1:12" x14ac:dyDescent="0.25">
      <c r="A67" s="27"/>
      <c r="B67" s="28"/>
      <c r="C67" s="6"/>
      <c r="D67" s="12"/>
      <c r="E67" s="11"/>
      <c r="F67" s="11"/>
      <c r="G67" s="15"/>
      <c r="H67" s="11"/>
      <c r="I67" s="12"/>
      <c r="J67" s="11"/>
      <c r="K67" s="19"/>
      <c r="L67" s="42"/>
    </row>
    <row r="68" spans="1:12" x14ac:dyDescent="0.25">
      <c r="A68" s="27"/>
      <c r="B68" s="28"/>
      <c r="C68" s="6"/>
      <c r="D68" s="12"/>
      <c r="E68" s="11"/>
      <c r="F68" s="12"/>
      <c r="G68" s="11"/>
      <c r="H68" s="11"/>
      <c r="I68" s="13"/>
      <c r="J68" s="14"/>
      <c r="K68" s="15"/>
      <c r="L68" s="42"/>
    </row>
    <row r="69" spans="1:12" x14ac:dyDescent="0.25">
      <c r="A69" s="27"/>
      <c r="B69" s="28"/>
      <c r="C69" s="6"/>
      <c r="D69" s="12"/>
      <c r="E69" s="11"/>
      <c r="F69" s="12"/>
      <c r="G69" s="11"/>
      <c r="H69" s="11"/>
      <c r="I69" s="13"/>
      <c r="J69" s="14"/>
      <c r="K69" s="15"/>
      <c r="L69" s="42"/>
    </row>
    <row r="70" spans="1:12" x14ac:dyDescent="0.25">
      <c r="A70" s="27"/>
      <c r="B70" s="28"/>
      <c r="C70" s="6"/>
      <c r="D70" s="12"/>
      <c r="E70" s="11"/>
      <c r="F70" s="12"/>
      <c r="G70" s="11"/>
      <c r="H70" s="11"/>
      <c r="I70" s="13"/>
      <c r="J70" s="52"/>
      <c r="K70" s="45"/>
      <c r="L70" s="42"/>
    </row>
    <row r="71" spans="1:12" ht="15.75" x14ac:dyDescent="0.25">
      <c r="A71" s="27"/>
      <c r="B71" s="28"/>
      <c r="C71" s="36"/>
      <c r="D71" s="29"/>
      <c r="E71" s="29"/>
      <c r="F71" s="29"/>
      <c r="G71" s="22"/>
      <c r="H71" s="22"/>
      <c r="I71" s="22"/>
      <c r="J71" s="37"/>
      <c r="K71" s="32"/>
      <c r="L71" s="42"/>
    </row>
  </sheetData>
  <mergeCells count="2">
    <mergeCell ref="A1:K2"/>
    <mergeCell ref="D3:F3"/>
  </mergeCells>
  <pageMargins left="0.7" right="0.7" top="0.75" bottom="0.75" header="0.3" footer="0.3"/>
  <pageSetup paperSize="9"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6"/>
  <sheetViews>
    <sheetView view="pageBreakPreview" topLeftCell="A9" zoomScale="60" workbookViewId="0">
      <selection activeCell="A15" sqref="A15:F15"/>
    </sheetView>
  </sheetViews>
  <sheetFormatPr defaultRowHeight="15" x14ac:dyDescent="0.25"/>
  <cols>
    <col min="2" max="2" width="13.28515625" customWidth="1"/>
    <col min="3" max="3" width="44.42578125" customWidth="1"/>
    <col min="5" max="5" width="10.140625" customWidth="1"/>
    <col min="6" max="6" width="13.85546875" customWidth="1"/>
    <col min="7" max="7" width="19.5703125" bestFit="1" customWidth="1"/>
    <col min="8" max="8" width="22.5703125" customWidth="1"/>
  </cols>
  <sheetData>
    <row r="1" spans="1:8" x14ac:dyDescent="0.25">
      <c r="G1" s="101" t="s">
        <v>34</v>
      </c>
      <c r="H1" s="101"/>
    </row>
    <row r="2" spans="1:8" ht="15" customHeight="1" x14ac:dyDescent="0.25">
      <c r="A2" s="102" t="s">
        <v>81</v>
      </c>
      <c r="B2" s="103"/>
      <c r="C2" s="103"/>
      <c r="D2" s="103"/>
      <c r="E2" s="103"/>
      <c r="F2" s="103"/>
      <c r="G2" s="103"/>
      <c r="H2" s="103"/>
    </row>
    <row r="3" spans="1:8" x14ac:dyDescent="0.25">
      <c r="A3" s="104"/>
      <c r="B3" s="105"/>
      <c r="C3" s="105"/>
      <c r="D3" s="105"/>
      <c r="E3" s="105"/>
      <c r="F3" s="105"/>
      <c r="G3" s="105"/>
      <c r="H3" s="105"/>
    </row>
    <row r="4" spans="1:8" ht="30" x14ac:dyDescent="0.25">
      <c r="A4" s="45" t="s">
        <v>36</v>
      </c>
      <c r="B4" s="46" t="s">
        <v>1</v>
      </c>
      <c r="C4" s="45" t="s">
        <v>37</v>
      </c>
      <c r="D4" s="45" t="s">
        <v>38</v>
      </c>
      <c r="E4" s="45" t="s">
        <v>39</v>
      </c>
      <c r="F4" s="45" t="s">
        <v>7</v>
      </c>
      <c r="G4" s="45" t="s">
        <v>40</v>
      </c>
      <c r="H4" s="45" t="s">
        <v>8</v>
      </c>
    </row>
    <row r="5" spans="1:8" x14ac:dyDescent="0.25">
      <c r="A5" s="106" t="s">
        <v>41</v>
      </c>
      <c r="B5" s="107"/>
      <c r="C5" s="107"/>
      <c r="D5" s="107"/>
      <c r="E5" s="107"/>
      <c r="F5" s="107"/>
      <c r="G5" s="107"/>
      <c r="H5" s="107"/>
    </row>
    <row r="6" spans="1:8" ht="120" x14ac:dyDescent="0.25">
      <c r="A6" s="10">
        <v>1</v>
      </c>
      <c r="B6" s="10" t="str">
        <f>[4]Estimate!B5</f>
        <v>10.25.2</v>
      </c>
      <c r="C6" s="6" t="s">
        <v>57</v>
      </c>
      <c r="D6" s="47" t="s">
        <v>23</v>
      </c>
      <c r="E6" s="47">
        <v>131</v>
      </c>
      <c r="F6" s="47">
        <f>[4]Estimate!J15</f>
        <v>653</v>
      </c>
      <c r="G6" s="47">
        <f>E6*F6</f>
        <v>85543</v>
      </c>
      <c r="H6" s="15"/>
    </row>
    <row r="7" spans="1:8" ht="270" x14ac:dyDescent="0.25">
      <c r="A7" s="10">
        <v>2</v>
      </c>
      <c r="B7" s="10">
        <f>[4]Estimate!B17</f>
        <v>12.5</v>
      </c>
      <c r="C7" s="6" t="str">
        <f>[4]Estimate!C17</f>
        <v>Providing and fixing precoated galvanised iron profile sheets (size, shape and pitch of corrugation as approved by Engineer-in-charge) 0.50 mm (+ 0.05 %) total coated thickness with zinc coating 120 grams per sqm as per IS: 277, in 240 mpa steel grade, 5-7 microns epoxy primer on both side of the sheet and polyester top coat 15-18 microns. Sheet should have protective guard film of 25 microns minimum to avoid scratches during transportation and should be supplied in single length upto 12 metre or as desired by Engineerin-charge. The sheet shall be fixed using self drilling /self tapping screws of size (5.5x 55 mm) with EPDM seal, complete upto any pitch in horizontal/ vertical or curved surfaces, excluding the cost ofpurlins, rafters and trusses and including cutting to size and shape wherever required</v>
      </c>
      <c r="D7" s="15" t="s">
        <v>20</v>
      </c>
      <c r="E7" s="47">
        <v>627.54999999999995</v>
      </c>
      <c r="F7" s="15">
        <f>[4]Estimate!J21</f>
        <v>103</v>
      </c>
      <c r="G7" s="47">
        <f t="shared" ref="G7:G14" si="0">E7*F7</f>
        <v>64637.649999999994</v>
      </c>
      <c r="H7" s="15"/>
    </row>
    <row r="8" spans="1:8" ht="90" x14ac:dyDescent="0.25">
      <c r="A8" s="10">
        <v>3</v>
      </c>
      <c r="B8" s="10" t="str">
        <f>[4]Estimate!B22</f>
        <v>15.2.2</v>
      </c>
      <c r="C8" s="6" t="str">
        <f>[4]Estimate!C22</f>
        <v>Demolishing cement concrete manually/ by mechanical means including disposal of material within 50 metres lead as per directionof Engineer - in - charge Nominal concrete 1:4:8 or leaner mix (i/c equivalent design mix)</v>
      </c>
      <c r="D8" s="15" t="s">
        <v>15</v>
      </c>
      <c r="E8" s="47">
        <v>1072.8</v>
      </c>
      <c r="F8" s="15">
        <f>[4]Estimate!J26</f>
        <v>0.23</v>
      </c>
      <c r="G8" s="47">
        <f t="shared" si="0"/>
        <v>246.744</v>
      </c>
      <c r="H8" s="15"/>
    </row>
    <row r="9" spans="1:8" ht="105" x14ac:dyDescent="0.25">
      <c r="A9" s="10">
        <v>4</v>
      </c>
      <c r="B9" s="10" t="str">
        <f>[4]Estimate!B27</f>
        <v>2.6.1</v>
      </c>
      <c r="C9" s="6" t="str">
        <f>[4]Estimate!C27</f>
        <v>Earth work in excavation by mechanical means (Hydraulic excavator) / manual means over areas (exceeding 30cm in depth. 1.5 m in width as well as 10 sqm on plan) including disposal of excavated earth, lead upto 50m and lift upto 1.5m, disposed earth to be levelled and neatly dressed.All kinds of soil.</v>
      </c>
      <c r="D9" s="15" t="s">
        <v>15</v>
      </c>
      <c r="E9" s="47">
        <v>181.85</v>
      </c>
      <c r="F9" s="15">
        <f>[4]Estimate!J31</f>
        <v>2</v>
      </c>
      <c r="G9" s="47">
        <f t="shared" si="0"/>
        <v>363.7</v>
      </c>
      <c r="H9" s="15"/>
    </row>
    <row r="10" spans="1:8" ht="120" x14ac:dyDescent="0.25">
      <c r="A10" s="10">
        <v>5</v>
      </c>
      <c r="B10" s="10" t="str">
        <f>[4]Estimate!B34</f>
        <v>4.1.3</v>
      </c>
      <c r="C10" s="6" t="s">
        <v>58</v>
      </c>
      <c r="D10" s="15" t="s">
        <v>15</v>
      </c>
      <c r="E10" s="47">
        <v>6788.6</v>
      </c>
      <c r="F10" s="15">
        <f>[4]Estimate!J38</f>
        <v>8</v>
      </c>
      <c r="G10" s="47">
        <f t="shared" si="0"/>
        <v>54308.800000000003</v>
      </c>
      <c r="H10" s="15"/>
    </row>
    <row r="11" spans="1:8" ht="90" x14ac:dyDescent="0.25">
      <c r="A11" s="10">
        <v>6</v>
      </c>
      <c r="B11" s="10" t="str">
        <f>[4]Estimate!B39</f>
        <v>5.1.2</v>
      </c>
      <c r="C11" s="6" t="str">
        <f>[4]Estimate!C39</f>
        <v>Providing and laying in position specified grade of reinforced cement concrete, excluding the cost of centering, shuttering, finishing and reinforcement - All work up to plinth level : 1:1.5:3 (1 cement : 1.5 coarse sand (zone-III): 3 graded stone aggregate 20 mm nominal size).</v>
      </c>
      <c r="D11" s="15" t="s">
        <v>15</v>
      </c>
      <c r="E11" s="47">
        <v>7718.25</v>
      </c>
      <c r="F11" s="15">
        <f>[4]Estimate!J45</f>
        <v>36</v>
      </c>
      <c r="G11" s="47">
        <f t="shared" si="0"/>
        <v>277857</v>
      </c>
      <c r="H11" s="15"/>
    </row>
    <row r="12" spans="1:8" ht="78.75" x14ac:dyDescent="0.25">
      <c r="A12" s="38">
        <v>7</v>
      </c>
      <c r="B12" s="38" t="str">
        <f>[4]Estimate!B46</f>
        <v>5.22.6</v>
      </c>
      <c r="C12" s="18" t="str">
        <f>[4]Estimate!C46</f>
        <v>Steel reinforcement for R.C.C. work including straightening, cutting, bending, placing in position and binding all complete upto plinth level.Thermo-Mechanically Treated bars of grade Fe-500D or more</v>
      </c>
      <c r="D12" s="15" t="s">
        <v>23</v>
      </c>
      <c r="E12" s="47">
        <v>83.5</v>
      </c>
      <c r="F12" s="47">
        <f>[4]Estimate!J50</f>
        <v>900</v>
      </c>
      <c r="G12" s="47">
        <f t="shared" si="0"/>
        <v>75150</v>
      </c>
      <c r="H12" s="43"/>
    </row>
    <row r="13" spans="1:8" ht="63" x14ac:dyDescent="0.25">
      <c r="A13" s="44">
        <v>8</v>
      </c>
      <c r="B13" s="44" t="str">
        <f>[4]Estimate!B51</f>
        <v>5.9.1</v>
      </c>
      <c r="C13" s="18" t="str">
        <f>[4]Estimate!C51</f>
        <v>Centering and shuttering including strutting, propping etc. and removal of form for all heights : Foundations, footings, bases of columns, etc. for mass concrete</v>
      </c>
      <c r="D13" s="15" t="s">
        <v>20</v>
      </c>
      <c r="E13" s="47">
        <v>284.85000000000002</v>
      </c>
      <c r="F13" s="47">
        <f>[4]Estimate!J58</f>
        <v>3</v>
      </c>
      <c r="G13" s="47">
        <f t="shared" si="0"/>
        <v>854.55000000000007</v>
      </c>
      <c r="H13" s="19"/>
    </row>
    <row r="14" spans="1:8" ht="63" x14ac:dyDescent="0.25">
      <c r="A14" s="44">
        <v>9</v>
      </c>
      <c r="B14" s="44" t="str">
        <f>[4]Estimate!B60</f>
        <v>13.61.1</v>
      </c>
      <c r="C14" s="18" t="s">
        <v>59</v>
      </c>
      <c r="D14" s="15" t="s">
        <v>20</v>
      </c>
      <c r="E14" s="47">
        <v>144.65</v>
      </c>
      <c r="F14" s="47">
        <f>[4]Estimate!J70</f>
        <v>30</v>
      </c>
      <c r="G14" s="47">
        <f t="shared" si="0"/>
        <v>4339.5</v>
      </c>
      <c r="H14" s="19"/>
    </row>
    <row r="15" spans="1:8" x14ac:dyDescent="0.25">
      <c r="A15" s="108" t="s">
        <v>43</v>
      </c>
      <c r="B15" s="109"/>
      <c r="C15" s="109"/>
      <c r="D15" s="109"/>
      <c r="E15" s="109"/>
      <c r="F15" s="110"/>
      <c r="G15" s="45">
        <f>SUM(G6:G14)</f>
        <v>563300.94400000013</v>
      </c>
      <c r="H15" s="19"/>
    </row>
    <row r="16" spans="1:8" ht="18.75" x14ac:dyDescent="0.25">
      <c r="A16" s="111"/>
      <c r="B16" s="112"/>
      <c r="C16" s="112"/>
      <c r="D16" s="112"/>
      <c r="E16" s="112"/>
      <c r="F16" s="113"/>
      <c r="G16" s="49"/>
      <c r="H16" s="19"/>
    </row>
  </sheetData>
  <mergeCells count="5">
    <mergeCell ref="G1:H1"/>
    <mergeCell ref="A2:H3"/>
    <mergeCell ref="A5:H5"/>
    <mergeCell ref="A15:F15"/>
    <mergeCell ref="A16:F16"/>
  </mergeCells>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Sheet1</vt:lpstr>
      <vt:lpstr>Indicative BoQ</vt:lpstr>
      <vt:lpstr>RATE</vt:lpstr>
      <vt:lpstr>Part A-BOQ</vt:lpstr>
      <vt:lpstr>Part- B BOQ</vt:lpstr>
      <vt:lpstr>Part-C BOQ</vt:lpstr>
      <vt:lpstr>Part D- BOQ</vt:lpstr>
      <vt:lpstr>Part- E Estimate</vt:lpstr>
      <vt:lpstr>Part E BOQ</vt:lpstr>
      <vt:lpstr>Part F BOQ</vt:lpstr>
      <vt:lpstr>Part F- Estimate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2024-05-31T09:38:56Z</dcterms:modified>
</cp:coreProperties>
</file>